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arbon\users\DaveR\Desktop\"/>
    </mc:Choice>
  </mc:AlternateContent>
  <workbookProtection workbookPassword="E31B" lockStructure="1"/>
  <bookViews>
    <workbookView xWindow="0" yWindow="0" windowWidth="28650" windowHeight="1113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C11" i="6" s="1"/>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3" i="6" l="1"/>
  <c r="C12" i="6"/>
  <c r="C10" i="6"/>
  <c r="C7" i="6"/>
  <c r="C9" i="6"/>
  <c r="C8" i="6"/>
  <c r="C5" i="6"/>
  <c r="C4" i="6"/>
  <c r="B28" i="6"/>
  <c r="B38" i="6"/>
  <c r="B33" i="6"/>
  <c r="B43"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63" i="6" s="1"/>
  <c r="B30" i="6"/>
  <c r="G30" i="6" s="1"/>
  <c r="B41" i="6"/>
  <c r="G21" i="6"/>
  <c r="H21" i="6" s="1"/>
  <c r="B26" i="6"/>
  <c r="G26" i="6" s="1"/>
  <c r="H26" i="6" s="1"/>
  <c r="C26" i="6" s="1"/>
  <c r="B36" i="6"/>
  <c r="B46" i="6"/>
  <c r="G46" i="6" s="1"/>
  <c r="G31" i="6"/>
  <c r="H22" i="6"/>
  <c r="D22" i="6" s="1"/>
  <c r="G47" i="6"/>
  <c r="G42" i="6"/>
  <c r="K65" i="6"/>
  <c r="C65" i="6" s="1"/>
  <c r="G27" i="6"/>
  <c r="G32" i="6"/>
  <c r="G43" i="6"/>
  <c r="G38" i="6"/>
  <c r="G35" i="6"/>
  <c r="G28" i="6"/>
  <c r="G33"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47" i="6" l="1"/>
  <c r="K64" i="6"/>
  <c r="C64" i="6" s="1"/>
  <c r="F50" i="6"/>
  <c r="H25" i="6"/>
  <c r="C25" i="6" s="1"/>
  <c r="F41" i="6"/>
  <c r="H41" i="6" s="1"/>
  <c r="F36" i="6"/>
  <c r="H36" i="6"/>
  <c r="C36"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C63" i="6" s="1"/>
  <c r="D26" i="6"/>
  <c r="H32" i="6"/>
  <c r="C32" i="6" s="1"/>
  <c r="C22"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6" i="6" l="1"/>
  <c r="D25" i="6"/>
  <c r="C41" i="6"/>
  <c r="D41" i="6"/>
  <c r="D32" i="6"/>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<sst xmlns="http://schemas.openxmlformats.org/spreadsheetml/2006/main" count="21604" uniqueCount="15500">
  <si>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</si>
  <si>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</si>
  <si>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</si>
  <si>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</si>
  <si>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</si>
  <si>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</si>
  <si>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</si>
  <si>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</si>
  <si>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</si>
  <si>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</si>
  <si>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</si>
  <si>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</si>
  <si>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</si>
  <si>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</si>
  <si>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</si>
  <si>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</si>
  <si>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</si>
  <si>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</si>
  <si>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</si>
  <si>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</si>
  <si>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</si>
  <si>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</si>
  <si>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</si>
  <si>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</si>
  <si>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</si>
  <si>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</si>
  <si>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</si>
  <si>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</si>
  <si>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</si>
  <si>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</si>
  <si>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</si>
  <si>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</si>
  <si>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</si>
  <si>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</si>
  <si>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</si>
  <si>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</si>
  <si>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</si>
  <si>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</si>
  <si>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</si>
  <si>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</si>
  <si>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</si>
  <si>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</si>
  <si>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</si>
  <si>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</si>
  <si>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</si>
  <si>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</si>
  <si>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</si>
  <si>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</si>
  <si>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</si>
  <si>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</si>
  <si>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</si>
  <si>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</si>
  <si>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</si>
  <si>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</si>
  <si>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</si>
  <si>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</si>
  <si>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</si>
  <si>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</si>
  <si>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</si>
  <si>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</si>
  <si>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</si>
  <si>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</si>
  <si>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</si>
  <si>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</si>
  <si>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</si>
  <si>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</si>
  <si>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</si>
  <si>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</si>
  <si>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</si>
  <si>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</si>
  <si>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</si>
  <si>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</si>
  <si>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</si>
  <si>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</si>
  <si>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</si>
  <si>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</si>
  <si>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</si>
  <si>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</si>
  <si>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</si>
  <si>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</si>
  <si>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</si>
  <si>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</si>
  <si>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</si>
  <si>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</si>
  <si>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</si>
  <si>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</si>
  <si>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</si>
  <si>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</si>
  <si>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</si>
  <si>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</si>
  <si>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</si>
  <si>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</si>
  <si>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</si>
  <si>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</si>
  <si>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</si>
  <si>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</si>
  <si>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</si>
  <si>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</si>
  <si>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</si>
  <si>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</si>
  <si>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</si>
  <si>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</si>
  <si>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</si>
  <si>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</si>
  <si>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</si>
  <si>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</si>
  <si>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</si>
  <si>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</si>
  <si>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</si>
  <si>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</si>
  <si>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</si>
  <si>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</si>
  <si>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</si>
  <si>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</si>
  <si>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</si>
  <si>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</si>
  <si>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</si>
  <si>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</si>
  <si>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</si>
  <si>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</si>
  <si>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</si>
  <si>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</si>
  <si>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</si>
  <si>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</si>
  <si>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</si>
  <si>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</si>
  <si>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</si>
  <si>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</si>
  <si>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</si>
  <si>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</si>
  <si>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</si>
  <si>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</si>
  <si>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</si>
  <si>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</si>
  <si>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</si>
  <si>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</si>
  <si>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</si>
  <si>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</si>
  <si>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</si>
  <si>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</si>
  <si>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</si>
  <si>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</si>
  <si>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</si>
  <si>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</si>
  <si>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</si>
  <si>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</si>
  <si>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</si>
  <si>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</si>
  <si>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</si>
  <si>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</si>
  <si>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</si>
  <si>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</si>
  <si>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</si>
  <si>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</si>
  <si>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</si>
  <si>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</si>
  <si>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</si>
  <si>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</si>
  <si>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</si>
  <si>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</si>
  <si>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</si>
  <si>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</si>
  <si>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</si>
  <si>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</si>
  <si>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</si>
  <si>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</si>
  <si>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</si>
  <si>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</si>
  <si>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</si>
  <si>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</si>
  <si>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</si>
  <si>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</si>
  <si>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</si>
  <si>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</si>
  <si>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</si>
  <si>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</si>
  <si>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</si>
  <si>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</si>
  <si>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</si>
  <si>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</si>
  <si>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</si>
  <si>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</si>
  <si>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</si>
  <si>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</si>
  <si>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</si>
  <si>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</si>
  <si>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</si>
  <si>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</si>
  <si>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</si>
  <si>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</si>
  <si>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</si>
  <si>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</si>
  <si>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</si>
  <si>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</si>
  <si>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</si>
  <si>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</si>
  <si>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</si>
  <si>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</si>
  <si>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</si>
  <si>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</si>
  <si>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</si>
  <si>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</si>
  <si>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</si>
  <si>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</si>
  <si>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</si>
  <si>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</si>
  <si>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</si>
  <si>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</si>
  <si>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</si>
  <si>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</si>
  <si>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</si>
  <si>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</si>
  <si>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</si>
  <si>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</si>
  <si>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</si>
  <si>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</si>
  <si>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</si>
  <si>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</si>
  <si>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</si>
  <si>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</si>
  <si>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</si>
  <si>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</si>
  <si>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</si>
  <si>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</si>
  <si>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</si>
  <si>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</si>
  <si>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</si>
  <si>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</si>
  <si>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</si>
  <si>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</si>
  <si>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</si>
  <si>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</si>
  <si>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</si>
  <si>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</si>
  <si>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</si>
  <si>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</si>
  <si>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</si>
  <si>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</si>
  <si>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</si>
  <si>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</si>
  <si>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</si>
  <si>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</si>
  <si>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</si>
  <si>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</si>
  <si>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</si>
  <si>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</si>
  <si>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</si>
  <si>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</si>
  <si>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</si>
  <si>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</si>
  <si>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</si>
  <si>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</si>
  <si>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</si>
  <si>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</si>
  <si>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</si>
  <si>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</si>
  <si>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</si>
  <si>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</si>
  <si>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</si>
  <si>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</si>
  <si>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</si>
  <si>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</si>
  <si>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</si>
  <si>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</si>
  <si>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</si>
  <si>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</si>
  <si>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</si>
  <si>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</si>
  <si>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</si>
  <si>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</si>
  <si>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</si>
  <si>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</si>
  <si>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</si>
  <si>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</si>
  <si>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</si>
  <si>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</si>
  <si>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</si>
  <si>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</si>
  <si>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</si>
  <si>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</si>
  <si>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</si>
  <si>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</si>
  <si>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</si>
  <si>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</si>
  <si>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</si>
  <si>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</si>
  <si>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</si>
  <si>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</si>
  <si>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</si>
  <si>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</si>
  <si>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</si>
  <si>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</si>
  <si>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</si>
  <si>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</si>
  <si>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</si>
  <si>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</si>
  <si>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</si>
  <si>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</si>
  <si>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</si>
  <si>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</si>
  <si>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</si>
  <si>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</si>
  <si>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</si>
  <si>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</si>
  <si>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</si>
  <si>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</si>
  <si>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</si>
  <si>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</si>
  <si>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</si>
  <si>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</si>
  <si>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</si>
  <si>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</si>
  <si>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</si>
  <si>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</si>
  <si>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</si>
  <si>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</si>
  <si>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</si>
  <si>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</si>
  <si>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</si>
  <si>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</si>
  <si>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</si>
  <si>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</si>
  <si>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</si>
  <si>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</si>
  <si>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</si>
  <si>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</si>
  <si>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</si>
  <si>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</si>
  <si>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</si>
  <si>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</si>
  <si>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</si>
  <si>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</si>
  <si>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</si>
  <si>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</si>
  <si>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</si>
  <si>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</si>
  <si>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</si>
  <si>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</si>
  <si>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</si>
  <si>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</si>
  <si>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</si>
  <si>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</si>
  <si>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</si>
  <si>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</si>
  <si>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</si>
  <si>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</si>
  <si>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</si>
  <si>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</si>
  <si>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</si>
  <si>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</si>
  <si>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</si>
  <si>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</si>
  <si>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</si>
  <si>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</si>
  <si>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</si>
  <si>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</si>
  <si>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</si>
  <si>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</si>
  <si>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</si>
  <si>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</si>
  <si>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</si>
  <si>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</si>
  <si>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</si>
  <si>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</si>
  <si>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</si>
  <si>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</si>
  <si>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</si>
  <si>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</si>
  <si>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</si>
  <si>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</si>
  <si>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</si>
  <si>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</si>
  <si>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</si>
  <si>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</si>
  <si>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</si>
  <si>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</si>
  <si>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</si>
  <si>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</si>
  <si>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</si>
  <si>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</si>
  <si>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</si>
  <si>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</si>
  <si>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</si>
  <si>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</si>
  <si>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</si>
  <si>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</si>
  <si>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</si>
  <si>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</si>
  <si>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</si>
  <si>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</si>
  <si>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</si>
  <si>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</si>
  <si>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</si>
  <si>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</si>
  <si>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</si>
  <si>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</si>
  <si>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</si>
  <si>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</si>
  <si>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</si>
  <si>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</si>
  <si>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</si>
  <si>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</si>
  <si>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</si>
  <si>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</si>
  <si>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</si>
  <si>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</si>
  <si>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</si>
  <si>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</si>
  <si>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</si>
  <si>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</si>
  <si>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</si>
  <si>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</si>
  <si>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</si>
  <si>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</si>
  <si>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</si>
  <si>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</si>
  <si>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</si>
  <si>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</si>
  <si>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</si>
  <si>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</si>
  <si>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</si>
  <si>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</si>
  <si>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</si>
  <si>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</si>
  <si>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</si>
  <si>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</si>
  <si>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</si>
  <si>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</si>
  <si>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</si>
  <si>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</si>
  <si>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</si>
  <si>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</si>
  <si>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</si>
  <si>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</si>
  <si>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</si>
  <si>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</si>
  <si>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</si>
  <si>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</si>
  <si>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</si>
  <si>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</si>
  <si>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</si>
  <si>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</si>
  <si>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</si>
  <si>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</si>
  <si>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</si>
  <si>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</si>
  <si>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</si>
  <si>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</si>
  <si>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</si>
  <si>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</si>
  <si>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</si>
  <si>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</si>
  <si>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</si>
  <si>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</si>
  <si>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</si>
  <si>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</si>
  <si>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</si>
  <si>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</si>
  <si>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</si>
  <si>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</si>
  <si>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</si>
  <si>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</si>
  <si>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</si>
  <si>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</si>
  <si>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</si>
  <si>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</si>
  <si>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</si>
  <si>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</si>
  <si>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</si>
  <si>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</si>
  <si>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</si>
  <si>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</si>
  <si>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</si>
  <si>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</si>
  <si>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</si>
  <si>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</si>
  <si>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</si>
  <si>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</si>
  <si>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</si>
  <si>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</si>
  <si>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</si>
  <si>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</si>
  <si>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</si>
  <si>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</si>
  <si>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</si>
  <si>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</si>
  <si>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</si>
  <si>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</si>
  <si>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</si>
  <si>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</si>
  <si>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</si>
  <si>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</si>
  <si>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</si>
  <si>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</si>
  <si>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</si>
  <si>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</si>
  <si>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</si>
  <si>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</si>
  <si>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</si>
  <si>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</si>
  <si>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</si>
  <si>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</si>
  <si>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</si>
  <si>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</si>
  <si>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</si>
  <si>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</si>
  <si>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</si>
  <si>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</si>
  <si>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</si>
  <si>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</si>
  <si>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</si>
  <si>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</si>
  <si>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</si>
  <si>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</si>
  <si>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</si>
  <si>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</si>
  <si>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</si>
  <si>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</si>
  <si>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</si>
  <si>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</si>
  <si>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</si>
  <si>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</si>
  <si>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</si>
  <si>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</si>
  <si>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</si>
  <si>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</si>
  <si>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</si>
  <si>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</si>
  <si>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</si>
  <si>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</si>
  <si>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</si>
  <si>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</si>
  <si>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</si>
  <si>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</si>
  <si>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</si>
  <si>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</si>
  <si>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</si>
  <si>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</si>
  <si>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</si>
  <si>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</si>
  <si>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</si>
  <si>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</si>
  <si>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</si>
  <si>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</si>
  <si>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</si>
  <si>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</si>
  <si>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</si>
  <si>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</si>
  <si>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</si>
  <si>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</si>
  <si>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</si>
  <si>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</si>
  <si>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</si>
  <si>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</si>
  <si>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</si>
  <si>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</si>
  <si>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</si>
  <si>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</si>
  <si>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</si>
  <si>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</si>
  <si>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</si>
  <si>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</si>
  <si>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</si>
  <si>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</si>
  <si>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</si>
  <si>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</si>
  <si>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</si>
  <si>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</si>
  <si>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</si>
  <si>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</si>
  <si>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</si>
  <si>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</si>
  <si>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</si>
  <si>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</si>
  <si>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</si>
  <si>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</si>
  <si>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</si>
  <si>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</si>
  <si>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</si>
  <si>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</si>
  <si>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</si>
  <si>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</si>
  <si>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</si>
  <si>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</si>
  <si>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</si>
  <si>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</si>
  <si>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</si>
  <si>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</si>
  <si>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</si>
  <si>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</si>
  <si>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</si>
  <si>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</si>
  <si>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</si>
  <si>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</si>
  <si>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</si>
  <si>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</si>
  <si>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</si>
  <si>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</si>
  <si>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</si>
  <si>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</si>
  <si>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</si>
  <si>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</si>
  <si>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</si>
  <si>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</si>
  <si>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</si>
  <si>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</si>
  <si>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</si>
  <si>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</si>
  <si>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</si>
  <si>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</si>
  <si>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</si>
  <si>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</si>
  <si>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</si>
  <si>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</si>
  <si>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</si>
  <si>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</si>
  <si>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</si>
  <si>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</si>
  <si>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</si>
  <si>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</si>
  <si>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</si>
  <si>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</si>
  <si>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</si>
  <si>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</si>
  <si>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</si>
  <si>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</si>
  <si>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</si>
  <si>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</si>
  <si>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</si>
  <si>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</si>
  <si>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</si>
  <si>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</si>
  <si>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</si>
  <si>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</si>
  <si>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</si>
  <si>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</si>
  <si>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</si>
  <si>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</si>
  <si>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</si>
  <si>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</si>
  <si>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</si>
  <si>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</si>
  <si>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</si>
  <si>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</si>
  <si>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</si>
  <si>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</si>
  <si>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</si>
  <si>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</si>
  <si>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</si>
  <si>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</si>
  <si>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</si>
  <si>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</si>
  <si>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</si>
  <si>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</si>
  <si>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</si>
  <si>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</si>
  <si>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</si>
  <si>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</si>
  <si>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</si>
  <si>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</si>
  <si>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</si>
  <si>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</si>
  <si>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</si>
  <si>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</si>
  <si>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</si>
  <si>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</si>
  <si>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</si>
  <si>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</si>
  <si>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</si>
  <si>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</si>
  <si>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</si>
  <si>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</si>
  <si>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</si>
  <si>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</si>
  <si>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</si>
  <si>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</si>
  <si>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</si>
  <si>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</si>
  <si>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</si>
  <si>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</si>
  <si>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</si>
  <si>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</si>
  <si>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</si>
  <si>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</si>
  <si>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</si>
  <si>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</si>
  <si>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</si>
  <si>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</si>
  <si>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</si>
  <si>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</si>
  <si>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</si>
  <si>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</si>
  <si>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</si>
  <si>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</si>
  <si>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</si>
  <si>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</si>
  <si>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</si>
  <si>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</si>
  <si>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</si>
  <si>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</si>
  <si>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</si>
  <si>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</si>
  <si>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</si>
  <si>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</si>
  <si>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</si>
  <si>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</si>
  <si>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</si>
  <si>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</si>
  <si>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</si>
  <si>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</si>
  <si>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</si>
  <si>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</si>
  <si>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</si>
  <si>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</si>
  <si>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</si>
  <si>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</si>
  <si>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</si>
  <si>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</si>
  <si>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</si>
  <si>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</si>
  <si>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</si>
  <si>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</si>
  <si>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</si>
  <si>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</si>
  <si>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</si>
  <si>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</si>
  <si>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</si>
  <si>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</si>
  <si>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</si>
  <si>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</si>
  <si>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</si>
  <si>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</si>
  <si>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</si>
  <si>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</si>
  <si>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</si>
  <si>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</si>
  <si>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</si>
  <si>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</si>
  <si>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</si>
  <si>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</si>
  <si>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</si>
  <si>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</si>
  <si>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</si>
  <si>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</si>
  <si>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</si>
  <si>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</si>
  <si>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</si>
  <si>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</si>
  <si>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</si>
  <si>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</si>
  <si>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</si>
  <si>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</si>
  <si>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</si>
  <si>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</si>
  <si>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</si>
  <si>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</si>
  <si>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</si>
  <si>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</si>
  <si>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</si>
  <si>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</si>
  <si>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</si>
  <si>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</si>
  <si>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</si>
  <si>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</si>
  <si>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</si>
  <si>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</si>
  <si>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</si>
  <si>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</si>
  <si>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</si>
  <si>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</si>
  <si>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</si>
  <si>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</si>
  <si>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</si>
  <si>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</si>
  <si>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</si>
  <si>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</si>
  <si>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</si>
  <si>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</si>
  <si>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</si>
  <si>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</si>
  <si>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</si>
  <si>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</si>
  <si>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</si>
  <si>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</si>
  <si>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</si>
  <si>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</si>
  <si>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</si>
  <si>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</si>
  <si>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</si>
  <si>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</si>
  <si>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</si>
  <si>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</si>
  <si>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</si>
  <si>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</si>
  <si>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</si>
  <si>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</si>
  <si>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</si>
  <si>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</si>
  <si>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</si>
  <si>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</si>
  <si>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</si>
  <si>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</si>
  <si>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</si>
  <si>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</si>
  <si>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</si>
  <si>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</si>
  <si>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</si>
  <si>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</si>
  <si>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</si>
  <si>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</si>
  <si>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</si>
  <si>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</si>
  <si>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</si>
  <si>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</si>
  <si>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</si>
  <si>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</si>
  <si>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</si>
  <si>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</si>
  <si>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</si>
  <si>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</si>
  <si>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</si>
  <si>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</si>
  <si>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</si>
  <si>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</si>
  <si>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</si>
  <si>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</si>
  <si>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</si>
  <si>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</si>
  <si>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</si>
  <si>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</si>
  <si>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</si>
  <si>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</si>
  <si>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</si>
  <si>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</si>
  <si>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</si>
  <si>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</si>
  <si>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</si>
  <si>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</si>
  <si>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</si>
  <si>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</si>
  <si>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</si>
  <si>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</si>
  <si>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</si>
  <si>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</si>
  <si>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</si>
  <si>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</si>
  <si>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</si>
  <si>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</si>
  <si>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</si>
  <si>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</si>
  <si>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</si>
  <si>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</si>
  <si>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</si>
  <si>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</si>
  <si>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</si>
  <si>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</si>
  <si>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</si>
  <si>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</si>
  <si>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</si>
  <si>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</si>
  <si>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</si>
  <si>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</si>
  <si>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</si>
  <si>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</si>
  <si>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</si>
  <si>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</si>
  <si>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</si>
  <si>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</si>
  <si>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</si>
  <si>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</si>
  <si>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</si>
  <si>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</si>
  <si>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</si>
  <si>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</si>
  <si>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</si>
  <si>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</si>
  <si>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</si>
  <si>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</si>
  <si>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</si>
  <si>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</si>
  <si>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</si>
  <si>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</si>
  <si>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</si>
  <si>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</si>
  <si>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</si>
  <si>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</si>
  <si>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</si>
  <si>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</si>
  <si>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</si>
  <si>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</si>
  <si>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</si>
  <si>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</si>
  <si>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</si>
  <si>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</si>
  <si>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</si>
  <si>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</si>
  <si>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</si>
  <si>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</si>
  <si>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</si>
  <si>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</si>
  <si>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</si>
  <si>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</si>
  <si>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</si>
  <si>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</si>
  <si>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</si>
  <si>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</si>
  <si>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</si>
  <si>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</si>
  <si>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</si>
  <si>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</si>
  <si>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</si>
  <si>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</si>
  <si>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</si>
  <si>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</si>
  <si>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</si>
  <si>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</si>
  <si>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</si>
  <si>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</si>
  <si>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</si>
  <si>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</si>
  <si>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</si>
  <si>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</si>
  <si>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</si>
  <si>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</si>
  <si>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</si>
  <si>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</si>
  <si>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</si>
  <si>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</si>
  <si>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</si>
  <si>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</si>
  <si>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</si>
  <si>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</si>
  <si>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</si>
  <si>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</si>
  <si>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</si>
  <si>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</si>
  <si>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</si>
  <si>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</si>
  <si>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</si>
  <si>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</si>
  <si>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</si>
  <si>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</si>
  <si>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</si>
  <si>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</si>
  <si>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</si>
  <si>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</si>
  <si>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</si>
  <si>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</si>
  <si>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</si>
  <si>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</si>
  <si>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</si>
  <si>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</si>
  <si>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</si>
  <si>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</si>
  <si>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</si>
  <si>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</si>
  <si>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</si>
  <si>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</si>
  <si>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</si>
  <si>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</si>
  <si>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</si>
  <si>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</si>
  <si>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</si>
  <si>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</si>
  <si>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</si>
  <si>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</si>
  <si>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</si>
  <si>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</si>
  <si>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</si>
  <si>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</si>
  <si>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</si>
  <si>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</si>
  <si>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</si>
  <si>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</si>
  <si>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</si>
  <si>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</si>
  <si>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</si>
  <si>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</si>
  <si>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</si>
  <si>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</si>
  <si>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</si>
  <si>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</si>
  <si>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</si>
  <si>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</si>
  <si>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</si>
  <si>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</si>
  <si>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</si>
  <si>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</si>
  <si>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</si>
  <si>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</si>
  <si>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</si>
  <si>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</si>
  <si>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</si>
  <si>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</si>
  <si>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</si>
  <si>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</si>
  <si>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</si>
  <si>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</si>
  <si>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</si>
  <si>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</si>
  <si>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</si>
  <si>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</si>
  <si>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</si>
  <si>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</si>
  <si>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</si>
  <si>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</si>
  <si>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</si>
  <si>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</si>
  <si>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</si>
  <si>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</si>
  <si>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</si>
  <si>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</si>
  <si>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</si>
  <si>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</si>
  <si>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</si>
  <si>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</si>
  <si>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</si>
  <si>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</si>
  <si>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</si>
  <si>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</si>
  <si>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</si>
  <si>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</si>
  <si>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</si>
  <si>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</si>
  <si>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</si>
  <si>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</si>
  <si>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</si>
  <si>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</si>
  <si>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</si>
  <si>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</si>
  <si>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</si>
  <si>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</si>
  <si>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</si>
  <si>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</si>
  <si>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</si>
  <si>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</si>
  <si>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</si>
  <si>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</si>
  <si>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</si>
  <si>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</si>
  <si>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</si>
  <si>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</si>
  <si>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</si>
  <si>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</si>
  <si>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</si>
  <si>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</si>
  <si>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</si>
  <si>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</si>
  <si>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</si>
  <si>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</si>
  <si>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</si>
  <si>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</si>
  <si>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</si>
  <si>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</si>
  <si>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</si>
  <si>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</si>
  <si>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</si>
  <si>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</si>
  <si>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</si>
  <si>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</si>
  <si>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</si>
  <si>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</si>
  <si>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</si>
  <si>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</si>
  <si>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</si>
  <si>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</si>
  <si>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</si>
  <si>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</si>
  <si>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</si>
  <si>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</si>
  <si>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</si>
  <si>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</si>
  <si>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</si>
  <si>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</si>
  <si>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</si>
  <si>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</si>
  <si>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</si>
  <si>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</si>
  <si>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</si>
  <si>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</si>
  <si>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</si>
  <si>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</si>
  <si>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</si>
  <si>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</si>
  <si>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</si>
  <si>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</si>
  <si>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</si>
  <si>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</si>
  <si>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</si>
  <si>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</si>
  <si>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</si>
  <si>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</si>
  <si>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</si>
  <si>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</si>
  <si>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</si>
  <si>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</si>
  <si>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</si>
  <si>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</si>
  <si>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</si>
  <si>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</si>
  <si>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</si>
  <si>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</si>
  <si>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</si>
  <si>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</si>
  <si>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</si>
  <si>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</si>
  <si>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</si>
  <si>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</si>
  <si>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</si>
  <si>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</si>
  <si>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</si>
  <si>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</si>
  <si>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</si>
  <si>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</si>
  <si>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</si>
  <si>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</si>
  <si>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</si>
  <si>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</si>
  <si>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</si>
  <si>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</si>
  <si>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</si>
  <si>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</si>
  <si>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</si>
  <si>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</si>
  <si>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</si>
  <si>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</si>
  <si>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</si>
  <si>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</si>
  <si>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</si>
  <si>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</si>
  <si>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</si>
  <si>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</si>
  <si>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</si>
  <si>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</si>
  <si>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</si>
  <si>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</si>
  <si>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</si>
  <si>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</si>
  <si>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</si>
  <si>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</si>
  <si>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</si>
  <si>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</si>
  <si>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</si>
  <si>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</si>
  <si>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</si>
  <si>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</si>
  <si>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</si>
  <si>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</si>
  <si>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</si>
  <si>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</si>
  <si>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</si>
  <si>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</si>
  <si>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</si>
  <si>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</si>
  <si>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</si>
  <si>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</si>
  <si>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</si>
  <si>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</si>
  <si>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</si>
  <si>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</si>
  <si>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</si>
  <si>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</si>
  <si>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</si>
  <si>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</si>
  <si>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</si>
  <si>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</si>
  <si>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</si>
  <si>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</si>
  <si>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</si>
  <si>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</si>
  <si>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</si>
  <si>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</si>
  <si>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</si>
  <si>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</si>
  <si>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</si>
  <si>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</si>
  <si>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</si>
  <si>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</si>
  <si>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</si>
  <si>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</si>
  <si>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</si>
  <si>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</si>
  <si>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</si>
  <si>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</si>
  <si>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</si>
  <si>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</si>
  <si>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</si>
  <si>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</si>
  <si>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</si>
  <si>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</si>
  <si>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</si>
  <si>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</si>
  <si>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</si>
  <si>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</si>
  <si>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</si>
  <si>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</si>
  <si>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</si>
  <si>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</si>
  <si>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</si>
  <si>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</si>
  <si>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</si>
  <si>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</si>
  <si>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</si>
  <si>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</si>
  <si>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</si>
  <si>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</si>
  <si>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</si>
  <si>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</si>
  <si>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</si>
  <si>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</si>
  <si>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</si>
  <si>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</si>
  <si>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</si>
  <si>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</si>
  <si>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</si>
  <si>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</si>
  <si>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</si>
  <si>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</si>
  <si>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</si>
  <si>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</si>
  <si>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</si>
  <si>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</si>
  <si>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</si>
  <si>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</si>
  <si>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</si>
  <si>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</si>
  <si>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</si>
  <si>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</si>
  <si>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</si>
  <si>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</si>
  <si>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</si>
  <si>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</si>
  <si>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</si>
  <si>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</si>
  <si>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</si>
  <si>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</si>
  <si>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</si>
  <si>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</si>
  <si>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</si>
  <si>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</si>
  <si>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</si>
  <si>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</si>
  <si>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</si>
  <si>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</si>
  <si>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</si>
  <si>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</si>
  <si>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</si>
  <si>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</si>
  <si>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</si>
  <si>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</si>
  <si>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</si>
  <si>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</si>
  <si>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</si>
  <si>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</si>
  <si>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</si>
  <si>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</si>
  <si>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</si>
  <si>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</si>
  <si>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</si>
  <si>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</si>
  <si>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</si>
  <si>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</si>
  <si>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</si>
  <si>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</si>
  <si>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</si>
  <si>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</si>
  <si>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</si>
  <si>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</si>
  <si>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</si>
  <si>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</si>
  <si>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</si>
  <si>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</si>
  <si>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</si>
  <si>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</si>
  <si>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</si>
  <si>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</si>
  <si>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</si>
  <si>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</si>
  <si>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</si>
  <si>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</si>
  <si>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</si>
  <si>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</si>
  <si>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</si>
  <si>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</si>
  <si>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</si>
  <si>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</si>
  <si>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</si>
  <si>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</si>
  <si>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</si>
  <si>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</si>
  <si>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</si>
  <si>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</si>
  <si>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</si>
  <si>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</si>
  <si>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</si>
  <si>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</si>
  <si>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</si>
  <si>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</si>
  <si>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</si>
  <si>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</si>
  <si>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</si>
  <si>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</si>
  <si>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</si>
  <si>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</si>
  <si>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</si>
  <si>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</si>
  <si>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</si>
  <si>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</si>
  <si>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</si>
  <si>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</si>
  <si>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</si>
  <si>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</si>
  <si>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</si>
  <si>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</si>
  <si>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</si>
  <si>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</si>
  <si>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</si>
  <si>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</si>
  <si>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</si>
  <si>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</si>
  <si>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</si>
  <si>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</si>
  <si>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</si>
  <si>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</si>
  <si>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</si>
  <si>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</si>
  <si>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</si>
  <si>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</si>
  <si>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</si>
  <si>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</si>
  <si>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</si>
  <si>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</si>
  <si>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</si>
  <si>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</si>
  <si>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</si>
  <si>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</si>
  <si>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</si>
  <si>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</si>
  <si>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</si>
  <si>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</si>
  <si>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</si>
  <si>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</si>
  <si>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</si>
  <si>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</si>
  <si>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</si>
  <si>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</si>
  <si>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</si>
  <si>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</si>
  <si>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</si>
  <si>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</si>
  <si>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</si>
  <si>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</si>
  <si>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</si>
  <si>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</si>
  <si>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</si>
  <si>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</si>
  <si>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</si>
  <si>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</si>
  <si>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</si>
  <si>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</si>
  <si>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</si>
  <si>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</si>
  <si>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</si>
  <si>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</si>
  <si>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</si>
  <si>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</si>
  <si>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</si>
  <si>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</si>
  <si>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</si>
  <si>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</si>
  <si>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</si>
  <si>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</si>
  <si>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</si>
  <si>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</si>
  <si>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</si>
  <si>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</si>
  <si>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</si>
  <si>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</si>
  <si>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</si>
  <si>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</si>
  <si>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</si>
  <si>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</si>
  <si>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</si>
  <si>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</si>
  <si>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</si>
  <si>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</si>
  <si>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</si>
  <si>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</si>
  <si>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</si>
  <si>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</si>
  <si>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</si>
  <si>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</si>
  <si>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</si>
  <si>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</si>
  <si>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</si>
  <si>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</si>
  <si>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</si>
  <si>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</si>
  <si>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</si>
  <si>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</si>
  <si>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</si>
  <si>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</si>
  <si>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</si>
  <si>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</si>
  <si>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</si>
  <si>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</si>
  <si>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</si>
  <si>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</si>
  <si>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</si>
  <si>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</si>
  <si>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</si>
  <si>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</si>
  <si>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</si>
  <si>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</si>
  <si>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</si>
  <si>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</si>
  <si>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</si>
  <si>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</si>
  <si>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</si>
  <si>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</si>
  <si>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</si>
  <si>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</si>
  <si>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</si>
  <si>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</si>
  <si>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</si>
  <si>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</si>
  <si>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</si>
  <si>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</si>
  <si>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</si>
  <si>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</si>
  <si>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</si>
  <si>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</si>
  <si>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</si>
  <si>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</si>
  <si>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</si>
  <si>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</si>
  <si>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</si>
  <si>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</si>
  <si>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</si>
  <si>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</si>
  <si>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</si>
  <si>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</si>
  <si>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</si>
  <si>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</si>
  <si>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</si>
  <si>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</si>
  <si>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</si>
  <si>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</si>
  <si>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</si>
  <si>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</si>
  <si>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</si>
  <si>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</si>
  <si>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</si>
  <si>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</si>
  <si>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</si>
  <si>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</si>
  <si>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</si>
  <si>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</si>
  <si>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</si>
  <si>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</si>
  <si>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</si>
  <si>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</si>
  <si>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</si>
  <si>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</si>
  <si>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</si>
  <si>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</si>
  <si>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</si>
  <si>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</si>
  <si>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</si>
  <si>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</si>
  <si>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</si>
  <si>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</si>
  <si>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</si>
  <si>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</si>
  <si>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</si>
  <si>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</si>
  <si>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</si>
  <si>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</si>
  <si>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</si>
  <si>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</si>
  <si>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</si>
  <si>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</si>
  <si>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</si>
  <si>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</si>
  <si>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</si>
  <si>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</si>
  <si>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</si>
  <si>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</si>
  <si>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</si>
  <si>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</si>
  <si>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</si>
  <si>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</si>
  <si>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</si>
  <si>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</si>
  <si>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</si>
  <si>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</si>
  <si>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</si>
  <si>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</si>
  <si>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</si>
  <si>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</si>
  <si>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</si>
  <si>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</si>
  <si>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</si>
  <si>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</si>
  <si>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</si>
  <si>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</si>
  <si>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</si>
  <si>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</si>
  <si>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</si>
  <si>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</si>
  <si>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</si>
  <si>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</si>
  <si>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</si>
  <si>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</si>
  <si>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</si>
  <si>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</si>
  <si>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</si>
  <si>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</si>
  <si>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</si>
  <si>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</si>
  <si>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</si>
  <si>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</si>
  <si>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</si>
  <si>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</si>
  <si>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</si>
  <si>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</si>
  <si>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</si>
  <si>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</si>
  <si>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</si>
  <si>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</si>
  <si>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</si>
  <si>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</si>
  <si>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</si>
  <si>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</si>
  <si>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</si>
  <si>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</si>
  <si>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</si>
  <si>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</si>
  <si>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</si>
  <si>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</si>
  <si>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</si>
  <si>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</si>
  <si>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</si>
  <si>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</si>
  <si>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</si>
  <si>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</si>
  <si>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</si>
  <si>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</si>
  <si>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</si>
  <si>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</si>
  <si>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</si>
  <si>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</si>
  <si>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</si>
  <si>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</si>
  <si>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</si>
  <si>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</si>
  <si>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</si>
  <si>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</si>
  <si>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</si>
  <si>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</si>
  <si>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</si>
  <si>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</si>
  <si>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</si>
  <si>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</si>
  <si>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</si>
  <si>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</si>
  <si>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</si>
  <si>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</si>
  <si>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</si>
  <si>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</si>
  <si>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</si>
  <si>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</si>
  <si>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</si>
  <si>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</si>
  <si>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</si>
  <si>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</si>
  <si>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</si>
  <si>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</si>
  <si>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</si>
  <si>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</si>
  <si>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</si>
  <si>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</si>
  <si>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</si>
  <si>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</si>
  <si>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</si>
  <si>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</si>
  <si>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</si>
  <si>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</si>
  <si>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</si>
  <si>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</si>
  <si>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</si>
  <si>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</si>
  <si>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</si>
  <si>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</si>
  <si>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</si>
  <si>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</si>
  <si>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</si>
  <si>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</si>
  <si>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</si>
  <si>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</si>
  <si>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</si>
  <si>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</si>
  <si>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</si>
  <si>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</si>
  <si>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</si>
  <si>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</si>
  <si>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</si>
  <si>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</si>
  <si>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</si>
  <si>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</si>
  <si>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</si>
  <si>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</si>
  <si>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</si>
  <si>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</si>
  <si>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</si>
  <si>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</si>
  <si>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</si>
  <si>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</si>
  <si>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</si>
  <si>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</si>
  <si>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</si>
  <si>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</si>
  <si>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</si>
  <si>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</si>
  <si>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</si>
  <si>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</si>
  <si>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</si>
  <si>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</si>
  <si>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</si>
  <si>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</si>
  <si>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</si>
  <si>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</si>
  <si>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</si>
  <si>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</si>
  <si>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</si>
  <si>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</si>
  <si>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</si>
  <si>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</si>
  <si>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</si>
  <si>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</si>
  <si>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</si>
  <si>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</si>
  <si>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</si>
  <si>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</si>
  <si>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</si>
  <si>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</si>
  <si>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</si>
  <si>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</si>
  <si>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</si>
  <si>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</si>
  <si>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</si>
  <si>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</si>
  <si>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</si>
  <si>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</si>
  <si>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</si>
  <si>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</si>
  <si>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</si>
  <si>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</si>
  <si>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</si>
  <si>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</si>
  <si>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</si>
  <si>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</si>
  <si>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</si>
  <si>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</si>
  <si>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</si>
  <si>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</si>
  <si>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</si>
  <si>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</si>
  <si>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</si>
  <si>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</si>
  <si>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</si>
  <si>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</si>
  <si>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</si>
  <si>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</si>
  <si>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</si>
  <si>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</si>
  <si>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</si>
  <si>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</si>
  <si>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</si>
  <si>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</si>
  <si>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</si>
  <si>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</si>
  <si>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</si>
  <si>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</si>
  <si>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</si>
  <si>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</si>
  <si>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</si>
  <si>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</si>
  <si>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</si>
  <si>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</si>
  <si>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</si>
  <si>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</si>
  <si>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</si>
  <si>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</si>
  <si>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</si>
  <si>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</si>
  <si>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</si>
  <si>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</si>
  <si>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</si>
  <si>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</si>
  <si>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</si>
  <si>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</si>
  <si>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</si>
  <si>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</si>
  <si>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</si>
  <si>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</si>
  <si>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</si>
  <si>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</si>
  <si>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</si>
  <si>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</si>
  <si>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</si>
  <si>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</si>
  <si>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</si>
  <si>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</si>
  <si>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</si>
  <si>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</si>
  <si>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</si>
  <si>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</si>
  <si>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</si>
  <si>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</si>
  <si>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</si>
  <si>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</si>
  <si>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</si>
  <si>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</si>
  <si>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</si>
  <si>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</si>
  <si>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</si>
  <si>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</si>
  <si>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</si>
  <si>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</si>
  <si>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</si>
  <si>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</si>
  <si>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</si>
  <si>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</si>
  <si>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</si>
  <si>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</si>
  <si>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</si>
  <si>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</si>
  <si>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</si>
  <si>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</si>
  <si>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</si>
  <si>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</si>
  <si>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</si>
  <si>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</si>
  <si>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</si>
  <si>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</si>
  <si>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</si>
  <si>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</si>
  <si>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</si>
  <si>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</si>
  <si>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</si>
  <si>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</si>
  <si>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</si>
  <si>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</si>
  <si>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</si>
  <si>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</si>
  <si>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</si>
  <si>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</si>
  <si>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</si>
  <si>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</si>
  <si>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</si>
  <si>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</si>
  <si>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</si>
  <si>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</si>
  <si>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</si>
  <si>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</si>
  <si>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</si>
  <si>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</si>
  <si>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</si>
  <si>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</si>
  <si>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</si>
  <si>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</si>
  <si>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</si>
  <si>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</si>
  <si>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</si>
  <si>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</si>
  <si>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</si>
  <si>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</si>
  <si>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</si>
  <si>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</si>
  <si>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</si>
  <si>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</si>
  <si>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</si>
  <si>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</si>
  <si>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</si>
  <si>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</si>
  <si>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</si>
  <si>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</si>
  <si>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</si>
  <si>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</si>
  <si>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</si>
  <si>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</si>
  <si>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</si>
  <si>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</si>
  <si>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</si>
  <si>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</si>
  <si>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</si>
  <si>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</si>
  <si>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</si>
  <si>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</si>
  <si>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</si>
  <si>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</si>
  <si>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</si>
  <si>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</si>
  <si>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</si>
  <si>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</si>
  <si>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</si>
  <si>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</si>
  <si>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</si>
  <si>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</si>
  <si>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</si>
  <si>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</si>
  <si>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</si>
  <si>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</si>
  <si>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</si>
  <si>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</si>
  <si>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</si>
  <si>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</si>
  <si>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</si>
  <si>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</si>
  <si>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</si>
  <si>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</si>
  <si>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</si>
  <si>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</si>
  <si>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</si>
  <si>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</si>
  <si>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</si>
  <si>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</si>
  <si>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</si>
  <si>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</si>
  <si>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</si>
  <si>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</si>
  <si>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</si>
  <si>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</si>
  <si>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</si>
  <si>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</si>
  <si>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</si>
  <si>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</si>
  <si>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</si>
  <si>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</si>
  <si>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</si>
  <si>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</si>
  <si>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</si>
  <si>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</si>
  <si>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</si>
  <si>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</si>
  <si>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</si>
  <si>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</si>
  <si>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</si>
  <si>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</si>
  <si>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</si>
  <si>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</si>
  <si>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</si>
  <si>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</si>
  <si>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</si>
  <si>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</si>
  <si>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</si>
  <si>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</si>
  <si>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</si>
  <si>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</si>
  <si>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</si>
  <si>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</si>
  <si>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</si>
  <si>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</si>
  <si>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</si>
  <si>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</si>
  <si>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</si>
  <si>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</si>
  <si>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</si>
  <si>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</si>
  <si>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</si>
  <si>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</si>
  <si>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</si>
  <si>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</si>
  <si>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</si>
  <si>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</si>
  <si>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</si>
  <si>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</si>
  <si>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</si>
  <si>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</si>
  <si>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</si>
  <si>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</si>
  <si>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</si>
  <si>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</si>
  <si>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</si>
  <si>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</si>
  <si>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</si>
  <si>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</si>
  <si>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</si>
  <si>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</si>
  <si>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</si>
  <si>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</si>
  <si>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</si>
  <si>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</si>
  <si>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</si>
  <si>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</si>
  <si>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</si>
  <si>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</si>
  <si>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</si>
  <si>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</si>
  <si>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</si>
  <si>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</si>
  <si>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</si>
  <si>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</si>
  <si>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</si>
  <si>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</si>
  <si>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</si>
  <si>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</si>
  <si>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</si>
  <si>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</si>
  <si>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</si>
  <si>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</si>
  <si>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</si>
  <si>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</si>
  <si>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</si>
  <si>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</si>
  <si>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</si>
  <si>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</si>
  <si>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</si>
  <si>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</si>
  <si>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</si>
  <si>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</si>
  <si>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</si>
  <si>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</si>
  <si>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</si>
  <si>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</si>
  <si>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</si>
  <si>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</si>
  <si>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</si>
  <si>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</si>
  <si>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</si>
  <si>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</si>
  <si>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</si>
  <si>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</si>
  <si>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</si>
  <si>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</si>
  <si>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</si>
  <si>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</si>
  <si>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</si>
  <si>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</si>
  <si>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</si>
  <si>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</si>
  <si>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</si>
  <si>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</si>
  <si>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</si>
  <si>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</si>
  <si>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</si>
  <si>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</si>
  <si>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</si>
  <si>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</si>
  <si>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</si>
  <si>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</si>
  <si>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</si>
  <si>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</si>
  <si>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</si>
  <si>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</si>
  <si>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</si>
  <si>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</si>
  <si>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</si>
  <si>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</si>
  <si>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</si>
  <si>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</si>
  <si>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</si>
  <si>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</si>
  <si>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</si>
  <si>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</si>
  <si>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</si>
  <si>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</si>
  <si>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</si>
  <si>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</si>
  <si>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</si>
  <si>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</si>
  <si>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</si>
  <si>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</si>
  <si>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</si>
  <si>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</si>
  <si>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</si>
  <si>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</si>
  <si>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</si>
  <si>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</si>
  <si>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</si>
  <si>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</si>
  <si>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</si>
  <si>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</si>
  <si>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</si>
  <si>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</si>
  <si>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</si>
  <si>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</si>
  <si>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</si>
  <si>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</si>
  <si>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</si>
  <si>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</si>
  <si>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</si>
  <si>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</si>
  <si>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</si>
  <si>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</si>
  <si>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</si>
  <si>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</si>
  <si>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</si>
  <si>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</si>
  <si>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</si>
  <si>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</si>
  <si>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</si>
  <si>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</si>
  <si>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</si>
  <si>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</si>
  <si>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</si>
  <si>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</si>
  <si>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</si>
  <si>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</si>
  <si>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</si>
  <si>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</si>
  <si>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</si>
  <si>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</si>
  <si>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</si>
  <si>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</si>
  <si>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</si>
  <si>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</si>
  <si>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</si>
  <si>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</si>
  <si>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</si>
  <si>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</si>
  <si>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</si>
  <si>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</si>
  <si>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</si>
  <si>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</si>
  <si>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</si>
  <si>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</si>
  <si>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</si>
  <si>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</si>
  <si>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</si>
  <si>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</si>
  <si>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</si>
  <si>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</si>
  <si>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</si>
  <si>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</si>
  <si>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</si>
  <si>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</si>
  <si>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</si>
  <si>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</si>
  <si>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</si>
  <si>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</si>
  <si>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</si>
  <si>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</si>
  <si>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</si>
  <si>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</si>
  <si>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</si>
  <si>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</si>
  <si>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</si>
  <si>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</si>
  <si>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</si>
  <si>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</si>
  <si>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</si>
  <si>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</si>
  <si>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</si>
  <si>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</si>
  <si>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</si>
  <si>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</si>
  <si>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</si>
  <si>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</si>
  <si>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</si>
  <si>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</si>
  <si>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</si>
  <si>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</si>
  <si>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</si>
  <si>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</si>
  <si>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</si>
  <si>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</si>
  <si>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</si>
  <si>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</si>
  <si>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</si>
  <si>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</si>
  <si>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</si>
  <si>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</si>
  <si>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</si>
  <si>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</si>
  <si>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</si>
  <si>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</si>
  <si>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</si>
  <si>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</si>
  <si>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</si>
  <si>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</si>
  <si>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</si>
  <si>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</si>
  <si>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</si>
  <si>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</si>
  <si>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</si>
  <si>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</si>
  <si>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</si>
  <si>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</si>
  <si>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</si>
  <si>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</si>
  <si>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</si>
  <si>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</si>
  <si>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</si>
  <si>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</si>
  <si>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</si>
  <si>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</si>
  <si>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</si>
  <si>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</si>
  <si>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</si>
  <si>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</si>
  <si>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</si>
  <si>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</si>
  <si>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</si>
  <si>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</si>
  <si>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</si>
  <si>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</si>
  <si>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</si>
  <si>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</si>
  <si>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</si>
  <si>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</si>
  <si>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</si>
  <si>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</si>
  <si>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</si>
  <si>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</si>
  <si>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</si>
  <si>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</si>
  <si>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</si>
  <si>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</si>
  <si>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</si>
  <si>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</si>
  <si>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</si>
  <si>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</si>
  <si>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</si>
  <si>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</si>
  <si>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</si>
  <si>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</si>
  <si>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</si>
  <si>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</si>
  <si>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</si>
  <si>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</si>
  <si>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</si>
  <si>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</si>
  <si>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</si>
  <si>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</si>
  <si>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</si>
  <si>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</si>
  <si>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</si>
  <si>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</si>
  <si>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</si>
  <si>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</si>
  <si>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</si>
  <si>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</si>
  <si>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</si>
  <si>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</si>
  <si>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</si>
  <si>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</si>
  <si>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</si>
  <si>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</si>
  <si>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</si>
  <si>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</si>
  <si>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</si>
  <si>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</si>
  <si>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</si>
  <si>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</si>
  <si>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</si>
  <si>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</si>
  <si>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</si>
  <si>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</si>
  <si>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</si>
  <si>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</si>
  <si>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</si>
  <si>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</si>
  <si>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</si>
  <si>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</si>
  <si>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</si>
  <si>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</si>
  <si>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</si>
  <si>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</si>
  <si>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</si>
  <si>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</si>
  <si>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</si>
  <si>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</si>
  <si>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</si>
  <si>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</si>
  <si>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</si>
  <si>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</si>
  <si>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</si>
  <si>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</si>
  <si>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</si>
  <si>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</si>
  <si>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</si>
  <si>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</si>
  <si>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</si>
  <si>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</si>
  <si>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</si>
  <si>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</si>
  <si>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</si>
  <si>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</si>
  <si>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</si>
  <si>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</si>
  <si>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</si>
  <si>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</si>
  <si>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</si>
  <si>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</si>
  <si>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</si>
  <si>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</si>
  <si>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</si>
  <si>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</si>
  <si>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</si>
  <si>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</si>
  <si>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</si>
  <si>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</si>
  <si>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</si>
  <si>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</si>
  <si>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</si>
  <si>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</si>
  <si>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</si>
  <si>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</si>
  <si>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</si>
  <si>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</si>
  <si>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</si>
  <si>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</si>
  <si>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</si>
  <si>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</si>
  <si>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</si>
  <si>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</si>
  <si>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</si>
  <si>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</si>
  <si>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</si>
  <si>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</si>
  <si>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</si>
  <si>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</si>
  <si>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</si>
  <si>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</si>
  <si>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</si>
  <si>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</si>
  <si>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</si>
  <si>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</si>
  <si>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</si>
  <si>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</si>
  <si>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</si>
  <si>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</si>
  <si>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</si>
  <si>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</si>
  <si>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</si>
  <si>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</si>
  <si>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</si>
  <si>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</si>
  <si>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</si>
  <si>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</si>
  <si>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</si>
  <si>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</si>
  <si>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</si>
  <si>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</si>
  <si>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</si>
  <si>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</si>
  <si>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</si>
  <si>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</si>
  <si>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</si>
  <si>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</si>
  <si>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</si>
  <si>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</si>
  <si>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</si>
  <si>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</si>
  <si>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</si>
  <si>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</si>
  <si>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</si>
  <si>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</si>
  <si>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</si>
  <si>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</si>
  <si>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</si>
  <si>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</si>
  <si>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</si>
  <si>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</si>
  <si>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</si>
  <si>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</si>
  <si>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</si>
  <si>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</si>
  <si>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</si>
  <si>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</si>
  <si>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</si>
  <si>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</si>
  <si>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</si>
  <si>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</si>
  <si>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</si>
  <si>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</si>
  <si>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</si>
  <si>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</si>
  <si>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</si>
  <si>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</si>
  <si>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</si>
  <si>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</si>
  <si>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</si>
  <si>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</si>
  <si>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</si>
  <si>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</si>
  <si>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</si>
  <si>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</si>
  <si>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</si>
  <si>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</si>
  <si>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</si>
  <si>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</si>
  <si>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</si>
  <si>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</si>
  <si>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</si>
  <si>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</si>
  <si>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</si>
  <si>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</si>
  <si>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</si>
  <si>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</si>
  <si>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</si>
  <si>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</si>
  <si>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</si>
  <si>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</si>
  <si>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</si>
  <si>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</si>
  <si>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</si>
  <si>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</si>
  <si>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</si>
  <si>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</si>
  <si>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</si>
  <si>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</si>
  <si>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</si>
  <si>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</si>
  <si>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</si>
  <si>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</si>
  <si>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</si>
  <si>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</si>
  <si>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</si>
  <si>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</si>
  <si>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</si>
  <si>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</si>
  <si>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</si>
  <si>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</si>
  <si>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</si>
  <si>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</si>
  <si>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</si>
  <si>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</si>
  <si>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</si>
  <si>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</si>
  <si>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</si>
  <si>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</si>
  <si>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</si>
  <si>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</si>
  <si>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</si>
  <si>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</si>
  <si>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</si>
  <si>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</si>
  <si>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</si>
  <si>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</si>
  <si>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</si>
  <si>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</si>
  <si>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</si>
  <si>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</si>
  <si>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</si>
  <si>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</si>
  <si>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</si>
  <si>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</si>
  <si>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</si>
  <si>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</si>
  <si>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</si>
  <si>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</si>
  <si>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</si>
  <si>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</si>
  <si>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</si>
  <si>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</si>
  <si>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</si>
  <si>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</si>
  <si>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</si>
  <si>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</si>
  <si>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</si>
  <si>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</si>
  <si>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</si>
  <si>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</si>
  <si>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</si>
  <si>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</si>
  <si>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</si>
  <si>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</si>
  <si>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</si>
  <si>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</si>
  <si>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</si>
  <si>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</si>
  <si>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</si>
  <si>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</si>
  <si>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</si>
  <si>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</si>
  <si>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</si>
  <si>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</si>
  <si>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</si>
  <si>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</si>
  <si>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</si>
  <si>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</si>
  <si>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</si>
  <si>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</si>
  <si>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</si>
  <si>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</si>
  <si>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</si>
  <si>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</si>
  <si>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</si>
  <si>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</si>
  <si>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</si>
  <si>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</si>
  <si>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</si>
  <si>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</si>
  <si>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</si>
  <si>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</si>
  <si>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</si>
  <si>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</si>
  <si>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</si>
  <si>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</si>
  <si>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</si>
  <si>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</si>
  <si>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</si>
  <si>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</si>
  <si>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</si>
  <si>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</si>
  <si>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</si>
  <si>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</si>
  <si>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</si>
  <si>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</si>
  <si>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</si>
  <si>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</si>
  <si>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</si>
  <si>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</si>
  <si>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</si>
  <si>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</si>
  <si>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</si>
  <si>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</si>
  <si>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</si>
  <si>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</si>
  <si>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</si>
  <si>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</si>
  <si>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</si>
  <si>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</si>
  <si>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</si>
  <si>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</si>
  <si>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</si>
  <si>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</si>
  <si>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</si>
  <si>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</si>
  <si>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</si>
  <si>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</si>
  <si>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</si>
  <si>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</si>
  <si>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</si>
  <si>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</si>
  <si>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</si>
  <si>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</si>
  <si>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</si>
  <si>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</si>
  <si>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</si>
  <si>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</si>
  <si>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</si>
  <si>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</si>
  <si>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</si>
  <si>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</si>
  <si>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</si>
  <si>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</si>
  <si>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</si>
  <si>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</si>
  <si>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</si>
  <si>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</si>
  <si>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</si>
  <si>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</si>
  <si>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</si>
  <si>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</si>
  <si>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</si>
  <si>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</si>
  <si>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</si>
  <si>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</si>
  <si>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</si>
  <si>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</si>
  <si>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</si>
  <si>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</si>
  <si>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</si>
  <si>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</si>
  <si>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</si>
  <si>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</si>
  <si>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</si>
  <si>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</si>
  <si>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</si>
  <si>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</si>
  <si>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</si>
  <si>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</si>
  <si>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</si>
  <si>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</si>
  <si>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</si>
  <si>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</si>
  <si>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</si>
  <si>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</si>
  <si>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</si>
  <si>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</si>
  <si>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</si>
  <si>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</si>
  <si>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</si>
  <si>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</si>
  <si>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</si>
  <si>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</si>
  <si>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</si>
  <si>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</si>
  <si>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</si>
  <si>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</si>
  <si>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</si>
  <si>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</si>
  <si>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</si>
  <si>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</si>
  <si>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</si>
  <si>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</si>
  <si>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</si>
  <si>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</si>
  <si>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</si>
  <si>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</si>
  <si>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</si>
  <si>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</si>
  <si>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</si>
  <si>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</si>
  <si>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</si>
  <si>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</si>
  <si>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</si>
  <si>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</si>
  <si>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</si>
  <si>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</si>
  <si>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</si>
  <si>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</si>
  <si>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</si>
  <si>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</si>
  <si>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</si>
  <si>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</si>
  <si>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</si>
  <si>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</si>
  <si>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</si>
  <si>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</si>
  <si>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</si>
  <si>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</si>
  <si>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</si>
  <si>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</si>
  <si>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</si>
  <si>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</si>
  <si>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</si>
  <si>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</si>
  <si>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</si>
  <si>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</si>
  <si>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</si>
  <si>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</si>
  <si>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</si>
  <si>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</si>
  <si>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</si>
  <si>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</si>
  <si>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</si>
  <si>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</si>
  <si>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</si>
  <si>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</si>
  <si>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</si>
  <si>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</si>
  <si>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</si>
  <si>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</si>
  <si>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</si>
  <si>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</si>
  <si>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</si>
  <si>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</si>
  <si>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</si>
  <si>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</si>
  <si>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</si>
  <si>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</si>
  <si>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</si>
  <si>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</si>
  <si>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</si>
  <si>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</si>
  <si>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</si>
  <si>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</si>
  <si>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</si>
  <si>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</si>
  <si>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</si>
  <si>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</si>
  <si>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</si>
  <si>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</si>
  <si>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</si>
  <si>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</si>
  <si>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</si>
  <si>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</si>
  <si>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</si>
  <si>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</si>
  <si>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</si>
  <si>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</si>
  <si>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</si>
  <si>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</si>
  <si>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</si>
  <si>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</si>
  <si>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</si>
  <si>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</si>
  <si>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</si>
  <si>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</si>
  <si>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</si>
  <si>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</si>
  <si>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</si>
  <si>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</si>
  <si>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</si>
  <si>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</si>
  <si>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</si>
  <si>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</si>
  <si>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</si>
  <si>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</si>
  <si>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</si>
  <si>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</si>
  <si>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</si>
  <si>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</si>
  <si>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</si>
  <si>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</si>
  <si>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</si>
  <si>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</si>
  <si>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</si>
  <si>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</si>
  <si>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</si>
  <si>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</si>
  <si>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</si>
  <si>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</si>
  <si>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</si>
  <si>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</si>
  <si>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</si>
  <si>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</si>
  <si>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</si>
  <si>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</si>
  <si>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</si>
  <si>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</si>
  <si>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</si>
  <si>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</si>
  <si>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</si>
  <si>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</si>
  <si>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</si>
  <si>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</si>
  <si>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</si>
  <si>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</si>
  <si>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</si>
  <si>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</si>
  <si>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</si>
  <si>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</si>
  <si>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</si>
  <si>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</si>
  <si>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</si>
  <si>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</si>
  <si>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</si>
  <si>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</si>
  <si>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</si>
  <si>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</si>
  <si>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</si>
  <si>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</si>
  <si>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</si>
  <si>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</si>
  <si>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</si>
  <si>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</si>
  <si>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</si>
  <si>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</si>
  <si>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</si>
  <si>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</si>
  <si>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</si>
  <si>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</si>
  <si>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</si>
  <si>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</si>
  <si>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</si>
  <si>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</si>
  <si>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</si>
  <si>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</si>
  <si>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</si>
  <si>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</si>
  <si>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</si>
  <si>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</si>
  <si>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</si>
  <si>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</si>
  <si>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</si>
  <si>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</si>
  <si>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</si>
  <si>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</si>
  <si>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</si>
  <si>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</si>
  <si>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</si>
  <si>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</si>
  <si>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</si>
  <si>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</si>
  <si>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</si>
  <si>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</si>
  <si>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</si>
  <si>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</si>
  <si>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</si>
  <si>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</si>
  <si>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</si>
  <si>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</si>
  <si>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</si>
  <si>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</si>
  <si>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</si>
  <si>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</si>
  <si>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</si>
  <si>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</si>
  <si>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</si>
  <si>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</si>
  <si>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</si>
  <si>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</si>
  <si>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</si>
  <si>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</si>
  <si>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</si>
  <si>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</si>
  <si>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</si>
  <si>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</si>
  <si>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</si>
  <si>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</si>
  <si>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</si>
  <si>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</si>
  <si>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</si>
  <si>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</si>
  <si>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</si>
  <si>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</si>
  <si>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</si>
  <si>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</si>
  <si>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</si>
  <si>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</si>
  <si>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</si>
  <si>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</si>
  <si>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</si>
  <si>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</si>
  <si>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</si>
  <si>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</si>
  <si>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</si>
  <si>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</si>
  <si>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</si>
  <si>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</si>
  <si>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</si>
  <si>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</si>
  <si>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</si>
  <si>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</si>
  <si>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</si>
  <si>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</si>
  <si>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</si>
  <si>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</si>
  <si>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</si>
  <si>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</si>
  <si>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</si>
  <si>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</si>
  <si>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</si>
  <si>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</si>
  <si>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</si>
  <si>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</si>
  <si>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</si>
  <si>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</si>
  <si>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</si>
  <si>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</si>
  <si>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</si>
  <si>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</si>
  <si>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</si>
  <si>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</si>
  <si>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</si>
  <si>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</si>
  <si>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</si>
  <si>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</si>
  <si>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</si>
  <si>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</si>
  <si>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</si>
  <si>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</si>
  <si>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</si>
  <si>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</si>
  <si>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</si>
  <si>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</si>
  <si>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</si>
  <si>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</si>
  <si>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</si>
  <si>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</si>
  <si>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</si>
  <si>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</si>
  <si>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</si>
  <si>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</si>
  <si>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</si>
  <si>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</si>
  <si>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</si>
  <si>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</si>
  <si>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</si>
  <si>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</si>
  <si>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</si>
  <si>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</si>
  <si>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</si>
  <si>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</si>
  <si>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</si>
  <si>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</si>
  <si>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</si>
  <si>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</si>
  <si>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</si>
  <si>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</si>
  <si>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</si>
  <si>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</si>
  <si>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</si>
  <si>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</si>
  <si>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</si>
  <si>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</si>
  <si>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</si>
  <si>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</si>
  <si>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</si>
  <si>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</si>
  <si>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</si>
  <si>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</si>
  <si>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</si>
  <si>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</si>
  <si>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</si>
  <si>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</si>
  <si>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</si>
  <si>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</si>
  <si>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</si>
  <si>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</si>
  <si>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</si>
  <si>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</si>
  <si>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</si>
  <si>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</si>
  <si>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</si>
  <si>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</si>
  <si>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</si>
  <si>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</si>
  <si>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</si>
  <si>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</si>
  <si>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</si>
  <si>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</si>
  <si>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</si>
  <si>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</si>
  <si>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</si>
  <si>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</si>
  <si>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</si>
  <si>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</si>
  <si>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</si>
  <si>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</si>
  <si>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</si>
  <si>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</si>
  <si>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</si>
  <si>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</si>
  <si>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</si>
  <si>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</si>
  <si>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</si>
  <si>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</si>
  <si>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</si>
  <si>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</si>
  <si>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</si>
  <si>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</si>
  <si>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</si>
  <si>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</si>
  <si>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</si>
  <si>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</si>
  <si>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</si>
  <si>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</si>
  <si>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</si>
  <si>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</si>
  <si>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</si>
  <si>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</si>
  <si>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</si>
  <si>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</si>
  <si>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</si>
  <si>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</si>
  <si>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</si>
  <si>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</si>
  <si>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</si>
  <si>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</si>
  <si>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</si>
  <si>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</si>
  <si>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</si>
  <si>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</si>
  <si>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</si>
  <si>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</si>
  <si>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</si>
  <si>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</si>
  <si>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</si>
  <si>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</si>
  <si>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</si>
  <si>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</si>
  <si>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</si>
  <si>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</si>
  <si>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</si>
  <si>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</si>
  <si>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</si>
  <si>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</si>
  <si>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</si>
  <si>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</si>
  <si>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</si>
  <si>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</si>
  <si>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</si>
  <si>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</si>
  <si>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</si>
  <si>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</si>
  <si>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</si>
  <si>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</si>
  <si>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</si>
  <si>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</si>
  <si>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</si>
  <si>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</si>
  <si>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</si>
  <si>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</si>
  <si>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</si>
  <si>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</si>
  <si>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</si>
  <si>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</si>
  <si>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</si>
  <si>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</si>
  <si>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</si>
  <si>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</si>
  <si>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</si>
  <si>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</si>
  <si>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</si>
  <si>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</si>
  <si>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</si>
  <si>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</si>
  <si>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</si>
  <si>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</si>
  <si>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</si>
  <si>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</si>
  <si>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</si>
  <si>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</si>
  <si>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</si>
  <si>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</si>
  <si>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</si>
  <si>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</si>
  <si>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</si>
  <si>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</si>
  <si>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</si>
  <si>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</si>
  <si>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</si>
  <si>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</si>
  <si>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</si>
  <si>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</si>
  <si>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</si>
  <si>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</si>
  <si>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</si>
  <si>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</si>
  <si>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</si>
  <si>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</si>
  <si>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</si>
  <si>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</si>
  <si>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</si>
  <si>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</si>
  <si>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</si>
  <si>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</si>
  <si>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</si>
  <si>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</si>
  <si>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</si>
  <si>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</si>
  <si>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</si>
  <si>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</si>
  <si>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</si>
  <si>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</si>
  <si>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</si>
  <si>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</si>
  <si>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</si>
  <si>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</si>
  <si>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</si>
  <si>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</si>
  <si>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</si>
  <si>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</si>
  <si>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</si>
  <si>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</si>
  <si>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</si>
  <si>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</si>
  <si>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</si>
  <si>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</si>
  <si>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</si>
  <si>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</si>
  <si>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</si>
  <si>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</si>
  <si>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</si>
  <si>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</si>
  <si>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</si>
  <si>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</si>
  <si>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</si>
  <si>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</si>
  <si>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</si>
  <si>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</si>
  <si>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</si>
  <si>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</si>
  <si>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</si>
  <si>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</si>
  <si>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</si>
  <si>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</si>
  <si>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</si>
  <si>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</si>
  <si>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</si>
  <si>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</si>
  <si>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</si>
  <si>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</si>
  <si>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</si>
  <si>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</si>
  <si>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</si>
  <si>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</si>
  <si>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</si>
  <si>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</si>
  <si>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</si>
  <si>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</si>
  <si>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</si>
  <si>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</si>
  <si>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</si>
  <si>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</si>
  <si>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</si>
  <si>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</si>
  <si>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</si>
  <si>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</si>
  <si>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</si>
  <si>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</si>
  <si>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</si>
  <si>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</si>
  <si>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</si>
  <si>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</si>
  <si>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</si>
  <si>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</si>
  <si>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</si>
  <si>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</si>
  <si>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</si>
  <si>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</si>
  <si>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</si>
  <si>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</si>
  <si>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</si>
  <si>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</si>
  <si>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</si>
  <si>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</si>
  <si>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</si>
  <si>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</si>
  <si>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</si>
  <si>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</si>
  <si>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</si>
  <si>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</si>
  <si>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</si>
  <si>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</si>
  <si>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</si>
  <si>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</si>
  <si>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</si>
  <si>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</si>
  <si>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</si>
  <si>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</si>
  <si>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</si>
  <si>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</si>
  <si>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</si>
  <si>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</si>
  <si>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</si>
  <si>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</si>
  <si>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</si>
  <si>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</si>
  <si>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</si>
  <si>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</si>
  <si>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</si>
  <si>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</si>
  <si>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</si>
  <si>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</si>
  <si>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</si>
  <si>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</si>
  <si>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</si>
  <si>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</si>
  <si>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</si>
  <si>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</si>
  <si>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</si>
  <si>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</si>
  <si>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</si>
  <si>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</si>
  <si>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</si>
  <si>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</si>
  <si>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</si>
  <si>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</si>
  <si>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</si>
  <si>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</si>
  <si>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</si>
  <si>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</si>
  <si>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</si>
  <si>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</si>
  <si>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</si>
  <si>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</si>
  <si>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</si>
  <si>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</si>
  <si>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</si>
  <si>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</si>
  <si>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</si>
  <si>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</si>
  <si>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</si>
  <si>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</si>
  <si>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</si>
  <si>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</si>
  <si>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</si>
  <si>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</si>
  <si>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</si>
  <si>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</si>
  <si>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</si>
  <si>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</si>
  <si>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</si>
  <si>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</si>
  <si>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</si>
  <si>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</si>
  <si>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</si>
  <si>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</si>
  <si>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</si>
  <si>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</si>
  <si>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</si>
  <si>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</si>
  <si>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</si>
  <si>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</si>
  <si>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</si>
  <si>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</si>
  <si>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</si>
  <si>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</si>
  <si>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</si>
  <si>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</si>
  <si>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</si>
  <si>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</si>
  <si>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</si>
  <si>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</si>
  <si>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</si>
  <si>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</si>
  <si>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</si>
  <si>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</si>
  <si>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</si>
  <si>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</si>
  <si>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</si>
  <si>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</si>
  <si>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</si>
  <si>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</si>
  <si>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</si>
  <si>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</si>
  <si>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</si>
  <si>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</si>
  <si>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</si>
  <si>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</si>
  <si>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</si>
  <si>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</si>
  <si>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</si>
  <si>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</si>
  <si>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</si>
  <si>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</si>
  <si>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</si>
  <si>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</si>
  <si>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</si>
  <si>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</si>
  <si>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</si>
  <si>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</si>
  <si>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</si>
  <si>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</si>
  <si>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</si>
  <si>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</si>
  <si>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</si>
  <si>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</si>
  <si>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</si>
  <si>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</si>
  <si>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</si>
  <si>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</si>
  <si>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</si>
  <si>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</si>
  <si>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</si>
  <si>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</si>
  <si>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</si>
  <si>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</si>
  <si>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</si>
  <si>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</si>
  <si>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</si>
  <si>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</si>
  <si>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</si>
  <si>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</si>
  <si>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</si>
  <si>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</si>
  <si>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</si>
  <si>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</si>
  <si>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</si>
  <si>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</si>
  <si>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</si>
  <si>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</si>
  <si>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</si>
  <si>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</si>
  <si>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</si>
  <si>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</si>
  <si>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</si>
  <si>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</si>
  <si>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</si>
  <si>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</si>
  <si>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</si>
  <si>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</si>
  <si>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</si>
  <si>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</si>
  <si>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</si>
  <si>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</si>
  <si>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</si>
  <si>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</si>
  <si>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</si>
  <si>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</si>
  <si>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</si>
  <si>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</si>
  <si>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</si>
  <si>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</si>
  <si>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</si>
  <si>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</si>
  <si>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</si>
  <si>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</si>
  <si>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</si>
  <si>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</si>
  <si>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</si>
  <si>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</si>
  <si>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</si>
  <si>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</si>
  <si>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</si>
  <si>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</si>
  <si>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</si>
  <si>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</si>
  <si>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</si>
  <si>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</si>
  <si>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</si>
  <si>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</si>
  <si>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</si>
  <si>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</si>
  <si>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</si>
  <si>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</si>
  <si>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</si>
  <si>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</si>
  <si>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</si>
  <si>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</si>
  <si>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</si>
  <si>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</si>
  <si>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</si>
  <si>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</si>
  <si>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</si>
  <si>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</si>
  <si>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</si>
  <si>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</si>
  <si>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</si>
  <si>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</si>
  <si>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</si>
  <si>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</si>
  <si>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</si>
  <si>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</si>
  <si>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</si>
  <si>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</si>
  <si>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</si>
  <si>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</si>
  <si>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</si>
  <si>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</si>
  <si>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</si>
  <si>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</si>
  <si>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</si>
  <si>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</si>
  <si>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</si>
  <si>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</si>
  <si>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</si>
  <si>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</si>
  <si>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</si>
  <si>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</si>
  <si>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</si>
  <si>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</si>
  <si>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</si>
  <si>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</si>
  <si>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</si>
  <si>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</si>
  <si>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</si>
  <si>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</si>
  <si>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</si>
  <si>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</si>
  <si>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</si>
  <si>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</si>
  <si>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</si>
  <si>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</si>
  <si>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</si>
  <si>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</si>
  <si>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</si>
  <si>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</si>
  <si>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</si>
  <si>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</si>
  <si>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</si>
  <si>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</si>
  <si>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</si>
  <si>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</si>
  <si>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</si>
  <si>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</si>
  <si>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</si>
  <si>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</si>
  <si>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</si>
  <si>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</si>
  <si>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</si>
  <si>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</si>
  <si>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</si>
  <si>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</si>
  <si>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</si>
  <si>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</si>
  <si>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</si>
  <si>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</si>
  <si>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</si>
  <si>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</si>
  <si>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</si>
  <si>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</si>
  <si>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</si>
  <si>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</si>
  <si>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</si>
  <si>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</si>
  <si>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</si>
  <si>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</si>
  <si>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</si>
  <si>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</si>
  <si>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</si>
  <si>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</si>
  <si>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</si>
  <si>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</si>
  <si>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</si>
  <si>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</si>
  <si>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</si>
  <si>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</si>
  <si>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</si>
  <si>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</si>
  <si>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</si>
  <si>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</si>
  <si>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</si>
  <si>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</si>
  <si>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</si>
  <si>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</si>
  <si>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</si>
  <si>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</si>
  <si>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</si>
  <si>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</si>
  <si>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</si>
  <si>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</si>
  <si>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</si>
  <si>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</si>
  <si>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</si>
  <si>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</si>
  <si>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</si>
  <si>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</si>
  <si>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</si>
  <si>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</si>
  <si>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</si>
  <si>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</si>
  <si>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</si>
  <si>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</si>
  <si>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</si>
  <si>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</si>
  <si>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</si>
  <si>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</si>
  <si>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</si>
  <si>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</si>
  <si>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</si>
  <si>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</si>
  <si>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</si>
  <si>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</si>
  <si>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</si>
  <si>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</si>
  <si>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</si>
  <si>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</si>
  <si>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</si>
  <si>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</si>
  <si>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</si>
  <si>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</si>
  <si>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</si>
  <si>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</si>
  <si>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</si>
  <si>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</si>
  <si>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</si>
  <si>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</si>
  <si>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</si>
  <si>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</si>
  <si>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</si>
  <si>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</si>
  <si>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</si>
  <si>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</si>
  <si>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</si>
  <si>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</si>
  <si>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</si>
  <si>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</si>
  <si>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</si>
  <si>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</si>
  <si>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</si>
  <si>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</si>
  <si>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</si>
  <si>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</si>
  <si>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</si>
  <si>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</si>
  <si>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</si>
  <si>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</si>
  <si>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</si>
  <si>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</si>
  <si>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</si>
  <si>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</si>
  <si>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</si>
  <si>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</si>
  <si>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</si>
  <si>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</si>
  <si>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</si>
  <si>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</si>
  <si>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</si>
  <si>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</si>
  <si>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</si>
  <si>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</si>
  <si>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</si>
  <si>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</si>
  <si>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</si>
  <si>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</si>
  <si>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</si>
  <si>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</si>
  <si>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</si>
  <si>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</si>
  <si>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</si>
  <si>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</si>
  <si>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</si>
  <si>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</si>
  <si>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</si>
  <si>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</si>
  <si>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</si>
  <si>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</si>
  <si>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</si>
  <si>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</si>
  <si>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</si>
  <si>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</si>
  <si>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</si>
  <si>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</si>
  <si>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</si>
  <si>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</si>
  <si>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</si>
  <si>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</si>
  <si>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</si>
  <si>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</si>
  <si>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</si>
  <si>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</si>
  <si>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</si>
  <si>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</si>
  <si>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</si>
  <si>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</si>
  <si>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</si>
  <si>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</si>
  <si>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</si>
  <si>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</si>
  <si>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</si>
  <si>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</si>
  <si>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</si>
  <si>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</si>
  <si>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</si>
  <si>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</si>
  <si>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</si>
  <si>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</si>
  <si>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</si>
  <si>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</si>
  <si>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</si>
  <si>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</si>
  <si>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</si>
  <si>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</si>
  <si>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</si>
  <si>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</si>
  <si>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</si>
  <si>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</si>
  <si>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</si>
  <si>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</si>
  <si>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</si>
  <si>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</si>
  <si>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</si>
  <si>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</si>
  <si>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</si>
  <si>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</si>
  <si>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</si>
  <si>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</si>
  <si>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</si>
  <si>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</si>
  <si>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</si>
  <si>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</si>
  <si>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</si>
  <si>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</si>
  <si>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</si>
  <si>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</si>
  <si>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</si>
  <si>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</si>
  <si>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</si>
  <si>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</si>
  <si>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</si>
  <si>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</si>
  <si>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</si>
  <si>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</si>
  <si>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</si>
  <si>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</si>
  <si>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</si>
  <si>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</si>
  <si>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</si>
  <si>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</si>
  <si>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</si>
  <si>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</si>
  <si>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</si>
  <si>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</si>
  <si>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</si>
  <si>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</si>
  <si>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</si>
  <si>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</si>
  <si>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</si>
  <si>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</si>
  <si>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</si>
  <si>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</si>
  <si>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</si>
  <si>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</si>
  <si>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</si>
  <si>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</si>
  <si>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</si>
  <si>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</si>
  <si>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</si>
  <si>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</si>
  <si>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</si>
  <si>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</si>
  <si>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</si>
  <si>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</si>
  <si>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</si>
  <si>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</si>
  <si>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</si>
  <si>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</si>
  <si>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</si>
  <si>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</si>
  <si>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</si>
  <si>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</si>
  <si>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</si>
  <si>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</si>
  <si>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</si>
  <si>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</si>
  <si>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</si>
  <si>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</si>
  <si>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</si>
  <si>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</si>
  <si>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</si>
  <si>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</si>
  <si>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</si>
  <si>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</si>
  <si>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</si>
  <si>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</si>
  <si>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</si>
  <si>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</si>
  <si>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</si>
  <si>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</si>
  <si>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</si>
  <si>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</si>
  <si>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</si>
  <si>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</si>
  <si>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</si>
  <si>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</si>
  <si>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</si>
  <si>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</si>
  <si>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</si>
  <si>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</si>
  <si>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</si>
  <si>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</si>
  <si>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</si>
  <si>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</si>
  <si>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</si>
  <si>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</si>
  <si>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</si>
  <si>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</si>
  <si>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</si>
  <si>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</si>
  <si>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</si>
  <si>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</si>
  <si>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</si>
  <si>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</si>
  <si>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</si>
  <si>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</si>
  <si>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</si>
  <si>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</si>
  <si>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</si>
  <si>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</si>
  <si>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</si>
  <si>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</si>
  <si>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</si>
  <si>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</si>
  <si>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</si>
  <si>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</si>
  <si>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</si>
  <si>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</si>
  <si>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</si>
  <si>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</si>
  <si>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</si>
  <si>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</si>
  <si>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</si>
  <si>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</si>
  <si>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</si>
  <si>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</si>
  <si>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</si>
  <si>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</si>
  <si>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</si>
  <si>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</si>
  <si>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</si>
  <si>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</si>
  <si>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</si>
  <si>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</si>
  <si>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</si>
  <si>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</si>
  <si>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</si>
  <si>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</si>
  <si>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</si>
  <si>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</si>
  <si>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</si>
  <si>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</si>
  <si>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</si>
  <si>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</si>
  <si>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</si>
  <si>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</si>
  <si>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</si>
  <si>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</si>
  <si>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</si>
  <si>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</si>
  <si>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</si>
  <si>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</si>
  <si>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</si>
  <si>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</si>
  <si>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</si>
  <si>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</si>
  <si>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</si>
  <si>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</si>
  <si>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</si>
  <si>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</si>
  <si>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</si>
  <si>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</si>
  <si>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</si>
  <si>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</si>
  <si>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</si>
  <si>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</si>
  <si>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</si>
  <si>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</si>
  <si>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</si>
  <si>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</si>
  <si>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</si>
  <si>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</si>
  <si>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</si>
  <si>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</si>
  <si>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</si>
  <si>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</si>
  <si>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</si>
  <si>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</si>
  <si>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</si>
  <si>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</si>
  <si>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</si>
  <si>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</si>
  <si>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</si>
  <si>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</si>
  <si>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</si>
  <si>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</si>
  <si>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</si>
  <si>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</si>
  <si>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</si>
  <si>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</si>
  <si>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</si>
  <si>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</si>
  <si>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</si>
  <si>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</si>
  <si>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</si>
  <si>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</si>
  <si>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</si>
  <si>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</si>
  <si>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</si>
  <si>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</si>
  <si>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</si>
  <si>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</si>
  <si>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</si>
  <si>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</si>
  <si>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</si>
  <si>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</si>
  <si>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</si>
  <si>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</si>
  <si>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</si>
  <si>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</si>
  <si>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</si>
  <si>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</si>
  <si>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</si>
  <si>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</si>
  <si>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</si>
  <si>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</si>
  <si>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</si>
  <si>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</si>
  <si>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</si>
  <si>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</si>
  <si>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</si>
  <si>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</si>
  <si>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</si>
  <si>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</si>
  <si>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</si>
  <si>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</si>
  <si>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</si>
  <si>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</si>
  <si>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</si>
  <si>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</si>
  <si>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</si>
  <si>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</si>
  <si>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</si>
  <si>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</si>
  <si>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</si>
  <si>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</si>
  <si>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</si>
  <si>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</si>
  <si>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</si>
  <si>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</si>
  <si>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</si>
  <si>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</si>
  <si>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</si>
  <si>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</si>
  <si>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</si>
  <si>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</si>
  <si>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</si>
  <si>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</si>
  <si>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</si>
  <si>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</si>
  <si>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</si>
  <si>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</si>
  <si>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</si>
  <si>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</si>
  <si>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</si>
  <si>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</si>
  <si>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</si>
  <si>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</si>
  <si>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</si>
  <si>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</si>
  <si>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</si>
  <si>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</si>
  <si>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</si>
  <si>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</si>
  <si>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</si>
  <si>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</si>
  <si>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</si>
  <si>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</si>
  <si>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</si>
  <si>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</si>
  <si>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</si>
  <si>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</si>
  <si>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</si>
  <si>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</si>
  <si>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</si>
  <si>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</si>
  <si>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</si>
  <si>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</si>
  <si>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</si>
  <si>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</si>
  <si>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</si>
  <si>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</si>
  <si>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</si>
  <si>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</si>
  <si>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</si>
  <si>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</si>
  <si>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</si>
  <si>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</si>
  <si>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</si>
  <si>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</si>
  <si>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</si>
  <si>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</si>
  <si>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</si>
  <si>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</si>
  <si>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</si>
  <si>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</si>
  <si>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</si>
  <si>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</si>
  <si>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</si>
  <si>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</si>
  <si>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</si>
  <si>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</si>
  <si>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</si>
  <si>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</si>
  <si>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</si>
  <si>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</si>
  <si>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</si>
  <si>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</si>
  <si>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</si>
  <si>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</si>
  <si>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</si>
  <si>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</si>
  <si>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</si>
  <si>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</si>
  <si>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</si>
  <si>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</si>
  <si>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</si>
  <si>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</si>
  <si>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</si>
  <si>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</si>
  <si>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</si>
  <si>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</si>
  <si>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</si>
  <si>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</si>
  <si>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</si>
  <si>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</si>
  <si>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</si>
  <si>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</si>
  <si>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</si>
  <si>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</si>
  <si>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</si>
  <si>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</si>
  <si>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</si>
  <si>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</si>
  <si>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</si>
  <si>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</si>
  <si>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</si>
  <si>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</si>
  <si>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</si>
  <si>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</si>
  <si>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</si>
  <si>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</si>
  <si>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</si>
  <si>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</si>
  <si>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</si>
  <si>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</si>
  <si>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</si>
  <si>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</si>
  <si>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</si>
  <si>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</si>
  <si>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</si>
  <si>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</si>
  <si>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</si>
  <si>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</si>
  <si>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</si>
  <si>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</si>
  <si>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</si>
  <si>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</si>
  <si>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</si>
  <si>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</si>
  <si>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</si>
  <si>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</si>
  <si>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</si>
  <si>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</si>
  <si>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</si>
  <si>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</si>
  <si>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</si>
  <si>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</si>
  <si>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</si>
  <si>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</si>
  <si>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</si>
  <si>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</si>
  <si>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</si>
  <si>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</si>
  <si>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</si>
  <si>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</si>
  <si>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</si>
  <si>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</si>
  <si>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</si>
  <si>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</si>
  <si>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</si>
  <si>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</si>
  <si>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</si>
  <si>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</si>
  <si>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</si>
  <si>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</si>
  <si>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</si>
  <si>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</si>
  <si>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</si>
  <si>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</si>
  <si>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</si>
  <si>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</si>
  <si>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</si>
  <si>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</si>
  <si>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</si>
  <si>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</si>
  <si>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</si>
  <si>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</si>
  <si>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</si>
  <si>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</si>
  <si>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</si>
  <si>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</si>
  <si>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</si>
  <si>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</si>
  <si>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</si>
  <si>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</si>
  <si>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</si>
  <si>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</si>
  <si>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</si>
  <si>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</si>
  <si>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</si>
  <si>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</si>
  <si>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</si>
  <si>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</si>
  <si>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</si>
  <si>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</si>
  <si>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</si>
  <si>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</si>
  <si>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</si>
  <si>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</si>
  <si>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</si>
  <si>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</si>
  <si>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</si>
  <si>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</si>
  <si>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</si>
  <si>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</si>
  <si>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</si>
  <si>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</si>
  <si>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</si>
  <si>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</si>
  <si>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</si>
  <si>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</si>
  <si>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</si>
  <si>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</si>
  <si>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</si>
  <si>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</si>
  <si>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</si>
  <si>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</si>
  <si>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</si>
  <si>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</si>
  <si>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</si>
  <si>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</si>
  <si>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</si>
  <si>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</si>
  <si>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</si>
  <si>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</si>
  <si>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</si>
  <si>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</si>
  <si>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</si>
  <si>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</si>
  <si>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</si>
  <si>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</si>
  <si>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</si>
  <si>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</si>
  <si>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</si>
  <si>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</si>
  <si>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</si>
  <si>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</si>
  <si>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</si>
  <si>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</si>
  <si>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</si>
  <si>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</si>
  <si>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</si>
  <si>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</si>
  <si>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</si>
  <si>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</si>
  <si>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</si>
  <si>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</si>
  <si>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</si>
  <si>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</si>
  <si>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</si>
  <si>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</si>
  <si>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</si>
  <si>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</si>
  <si>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</si>
  <si>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</si>
  <si>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</si>
  <si>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</si>
  <si>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</si>
  <si>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</si>
  <si>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</si>
  <si>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</si>
  <si>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</si>
  <si>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</si>
  <si>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</si>
  <si>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</si>
  <si>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</si>
  <si>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</si>
  <si>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</si>
  <si>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</si>
  <si>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</si>
  <si>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</si>
  <si>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</si>
  <si>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</si>
  <si>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</si>
  <si>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</si>
  <si>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</si>
  <si>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</si>
  <si>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</si>
  <si>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</si>
  <si>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</si>
  <si>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</si>
  <si>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</si>
  <si>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</si>
  <si>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</si>
  <si>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</si>
  <si>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</si>
  <si>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</si>
  <si>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</si>
  <si>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</si>
  <si>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</si>
  <si>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</si>
  <si>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</si>
  <si>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</si>
  <si>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</si>
  <si>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</si>
  <si>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</si>
  <si>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</si>
  <si>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</si>
  <si>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</si>
  <si>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</si>
  <si>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</si>
  <si>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</si>
  <si>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</si>
  <si>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</si>
  <si>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</si>
  <si>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</si>
  <si>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</si>
  <si>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</si>
  <si>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</si>
  <si>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</si>
  <si>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</si>
  <si>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</si>
  <si>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</si>
  <si>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</si>
  <si>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</si>
  <si>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</si>
  <si>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</si>
  <si>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</si>
  <si>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</si>
  <si>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</si>
  <si>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</si>
  <si>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</si>
  <si>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</si>
  <si>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</si>
  <si>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</si>
  <si>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</si>
  <si>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</si>
  <si>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</si>
  <si>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</si>
  <si>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</si>
  <si>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</si>
  <si>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</si>
  <si>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</si>
  <si>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</si>
  <si>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</si>
  <si>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</si>
  <si>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</si>
  <si>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</si>
  <si>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</si>
  <si>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</si>
  <si>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</si>
  <si>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</si>
  <si>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</si>
  <si>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</si>
  <si>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</si>
  <si>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</si>
  <si>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</si>
  <si>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</si>
  <si>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</si>
  <si>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</si>
  <si>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</si>
  <si>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</si>
  <si>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</si>
  <si>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</si>
  <si>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</si>
  <si>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</si>
  <si>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</si>
  <si>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</si>
  <si>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</si>
  <si>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</si>
  <si>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</si>
  <si>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</si>
  <si>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</si>
  <si>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</si>
  <si>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</si>
  <si>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</si>
  <si>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</si>
  <si>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</si>
  <si>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</si>
  <si>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</si>
  <si>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</si>
  <si>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</si>
  <si>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</si>
  <si>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</si>
  <si>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</si>
  <si>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</si>
  <si>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</si>
  <si>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</si>
  <si>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</si>
  <si>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</si>
  <si>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</si>
  <si>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</si>
  <si>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</si>
  <si>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</si>
  <si>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</si>
  <si>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</si>
  <si>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</si>
  <si>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</si>
  <si>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</si>
  <si>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</si>
  <si>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</si>
  <si>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</si>
  <si>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</si>
  <si>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</si>
  <si>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</si>
  <si>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</si>
  <si>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</si>
  <si>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</si>
  <si>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</si>
  <si>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</si>
  <si>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</si>
  <si>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</si>
  <si>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</si>
  <si>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</si>
  <si>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</si>
  <si>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</si>
  <si>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</si>
  <si>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</si>
  <si>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</si>
  <si>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</si>
  <si>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</si>
  <si>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</si>
  <si>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</si>
  <si>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</si>
  <si>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</si>
  <si>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</si>
  <si>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</si>
  <si>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</si>
  <si>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</si>
  <si>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</si>
  <si>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</si>
  <si>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</si>
  <si>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</si>
  <si>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</si>
  <si>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</si>
  <si>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</si>
  <si>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</si>
  <si>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</si>
  <si>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</si>
  <si>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</si>
  <si>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</si>
  <si>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</si>
  <si>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</si>
  <si>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</si>
  <si>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</si>
  <si>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</si>
  <si>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</si>
  <si>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</si>
  <si>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</si>
  <si>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</si>
  <si>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</si>
  <si>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</si>
  <si>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</si>
  <si>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</si>
  <si>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</si>
  <si>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</si>
  <si>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</si>
  <si>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</si>
  <si>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</si>
  <si>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</si>
  <si>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</si>
  <si>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</si>
  <si>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</si>
  <si>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</si>
  <si>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</si>
  <si>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</si>
  <si>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</si>
  <si>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</si>
  <si>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</si>
  <si>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</si>
  <si>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</si>
  <si>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</si>
  <si>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</si>
  <si>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</si>
  <si>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</si>
  <si>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</si>
  <si>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</si>
  <si>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</si>
  <si>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</si>
  <si>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</si>
  <si>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</si>
  <si>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</si>
  <si>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</si>
  <si>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</si>
  <si>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</si>
  <si>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</si>
  <si>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</si>
  <si>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</si>
  <si>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</si>
  <si>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</si>
  <si>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</si>
  <si>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</si>
  <si>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</si>
  <si>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</si>
  <si>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</si>
  <si>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</si>
  <si>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</si>
  <si>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</si>
  <si>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</si>
  <si>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</si>
  <si>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</si>
  <si>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</si>
  <si>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</si>
  <si>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</si>
  <si>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</si>
  <si>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</si>
  <si>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</si>
  <si>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</si>
  <si>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</si>
  <si>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</si>
  <si>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</si>
  <si>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</si>
  <si>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</si>
  <si>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</si>
  <si>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</si>
  <si>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</si>
  <si>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</si>
  <si>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</si>
  <si>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</si>
  <si>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</si>
  <si>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</si>
  <si>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</si>
  <si>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</si>
  <si>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</si>
  <si>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</si>
  <si>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</si>
  <si>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</si>
  <si>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</si>
  <si>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</si>
  <si>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</si>
  <si>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</si>
  <si>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</si>
  <si>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</si>
  <si>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</si>
  <si>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</si>
  <si>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</si>
  <si>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</si>
  <si>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</si>
  <si>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</si>
  <si>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</si>
  <si>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</si>
  <si>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</si>
  <si>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</si>
  <si>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</si>
  <si>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</si>
  <si>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</si>
  <si>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</si>
  <si>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</si>
  <si>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</si>
  <si>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</si>
  <si>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</si>
  <si>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</si>
  <si>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</si>
  <si>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</si>
  <si>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</si>
  <si>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</si>
  <si>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</si>
  <si>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</si>
  <si>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</si>
  <si>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</si>
  <si>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</si>
  <si>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</si>
  <si>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</si>
  <si>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</si>
  <si>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</si>
  <si>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</si>
  <si>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</si>
  <si>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</si>
  <si>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</si>
  <si>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</si>
  <si>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</si>
  <si>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</si>
  <si>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</si>
  <si>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</si>
  <si>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</si>
  <si>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</si>
  <si>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</si>
  <si>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</si>
  <si>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</si>
  <si>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</si>
  <si>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</si>
  <si>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</si>
  <si>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</si>
  <si>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</si>
  <si>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</si>
  <si>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</si>
  <si>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</si>
  <si>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</si>
  <si>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</si>
  <si>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</si>
  <si>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</si>
  <si>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</si>
  <si>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</si>
  <si>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</si>
  <si>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</si>
  <si>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</si>
  <si>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</si>
  <si>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</si>
  <si>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</si>
  <si>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</si>
  <si>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</si>
  <si>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</si>
  <si>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</si>
  <si>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</si>
  <si>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</si>
  <si>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</si>
  <si>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</si>
  <si>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</si>
  <si>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</si>
  <si>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</si>
  <si>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</si>
  <si>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</si>
  <si>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</si>
  <si>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</si>
  <si>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</si>
  <si>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</si>
  <si>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</si>
  <si>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</si>
  <si>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</si>
  <si>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</si>
  <si>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</si>
  <si>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</si>
  <si>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</si>
  <si>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</si>
  <si>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</si>
  <si>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</si>
  <si>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</si>
  <si>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</si>
  <si>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</si>
  <si>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</si>
  <si>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</si>
  <si>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</si>
  <si>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</si>
  <si>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</si>
  <si>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</si>
  <si>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</si>
  <si>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</si>
  <si>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</si>
  <si>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</si>
  <si>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</si>
  <si>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</si>
  <si>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</si>
  <si>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</si>
  <si>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</si>
  <si>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</si>
  <si>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</si>
  <si>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</si>
  <si>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</si>
  <si>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</si>
  <si>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</si>
  <si>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</si>
  <si>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</si>
  <si>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</si>
  <si>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</si>
  <si>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</si>
  <si>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</si>
  <si>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</si>
  <si>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</si>
  <si>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</si>
  <si>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</si>
  <si>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</si>
  <si>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</si>
  <si>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</si>
  <si>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</si>
  <si>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</si>
  <si>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</si>
  <si>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</si>
  <si>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</si>
  <si>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</si>
  <si>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</si>
  <si>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</si>
  <si>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</si>
  <si>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</si>
  <si>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</si>
  <si>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</si>
  <si>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</si>
  <si>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</si>
  <si>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</si>
  <si>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</si>
  <si>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</si>
  <si>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</si>
  <si>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</si>
  <si>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</si>
  <si>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</si>
  <si>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</si>
  <si>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</si>
  <si>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</si>
  <si>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</si>
  <si>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</si>
  <si>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</si>
  <si>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</si>
  <si>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</si>
  <si>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</si>
  <si>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</si>
  <si>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</si>
  <si>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</si>
  <si>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</si>
  <si>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</si>
  <si>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</si>
  <si>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</si>
  <si>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</si>
  <si>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</si>
  <si>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</si>
  <si>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</si>
  <si>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</si>
  <si>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</si>
  <si>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</si>
  <si>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</si>
  <si>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</si>
  <si>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</si>
  <si>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</si>
  <si>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</si>
  <si>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</si>
  <si>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</si>
  <si>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</si>
  <si>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</si>
  <si>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</si>
  <si>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</si>
  <si>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</si>
  <si>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</si>
  <si>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</si>
  <si>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</si>
  <si>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</si>
  <si>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</si>
  <si>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</si>
  <si>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</si>
  <si>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</si>
  <si>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</si>
  <si>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</si>
  <si>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</si>
  <si>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</si>
  <si>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</si>
  <si>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</si>
  <si>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</si>
  <si>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</si>
  <si>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</si>
  <si>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</si>
  <si>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</si>
  <si>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</si>
  <si>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</si>
  <si>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</si>
  <si>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</si>
  <si>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</si>
  <si>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</si>
  <si>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</si>
  <si>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</si>
  <si>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</si>
  <si>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</si>
  <si>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</si>
  <si>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</si>
  <si>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</si>
  <si>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</si>
  <si>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</si>
  <si>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</si>
  <si>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</si>
  <si>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</si>
  <si>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</si>
  <si>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</si>
  <si>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</si>
  <si>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</si>
  <si>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</si>
  <si>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</si>
  <si>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</si>
  <si>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</si>
  <si>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</si>
  <si>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</si>
  <si>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</si>
  <si>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</si>
  <si>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</si>
  <si>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</si>
  <si>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</si>
  <si>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</si>
  <si>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</si>
  <si>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</si>
  <si>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</si>
  <si>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</si>
  <si>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</si>
  <si>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</si>
  <si>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</si>
  <si>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</si>
  <si>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</si>
  <si>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</si>
  <si>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</si>
  <si>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</si>
  <si>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</si>
  <si>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</si>
  <si>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</si>
  <si>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</si>
  <si>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</si>
  <si>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</si>
  <si>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</si>
  <si>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</si>
  <si>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</si>
  <si>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</si>
  <si>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</si>
  <si>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</si>
  <si>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</si>
  <si>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</si>
  <si>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</si>
  <si>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</si>
  <si>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</si>
  <si>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</si>
  <si>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</si>
  <si>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</si>
  <si>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</si>
  <si>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</si>
  <si>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</si>
  <si>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</si>
  <si>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</si>
  <si>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</si>
  <si>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</si>
  <si>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</si>
  <si>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</si>
  <si>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</si>
  <si>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</si>
  <si>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</si>
  <si>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</si>
  <si>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</si>
  <si>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</si>
  <si>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</si>
  <si>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</si>
  <si>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</si>
  <si>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</si>
  <si>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</si>
  <si>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</si>
  <si>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</si>
  <si>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</si>
  <si>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</si>
  <si>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</si>
  <si>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</si>
  <si>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</si>
  <si>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</si>
  <si>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</si>
  <si>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</si>
  <si>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</si>
  <si>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</si>
  <si>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</si>
  <si>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</si>
  <si>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</si>
  <si>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</si>
  <si>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</si>
  <si>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</si>
  <si>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</si>
  <si>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</si>
  <si>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</si>
  <si>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</si>
  <si>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</si>
  <si>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</si>
  <si>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</si>
  <si>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</si>
  <si>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</si>
  <si>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</si>
  <si>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</si>
  <si>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</si>
  <si>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</si>
  <si>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</si>
  <si>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</si>
  <si>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</si>
  <si>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</si>
  <si>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</si>
  <si>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</si>
  <si>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</si>
  <si>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</si>
  <si>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</si>
  <si>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</si>
  <si>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</si>
  <si>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</si>
  <si>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</si>
  <si>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</si>
  <si>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</si>
  <si>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</si>
  <si>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</si>
  <si>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</si>
  <si>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</si>
  <si>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</si>
  <si>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</si>
  <si>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</si>
  <si>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</si>
  <si>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</si>
  <si>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</si>
  <si>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</si>
  <si>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</si>
  <si>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</si>
  <si>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</si>
  <si>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</si>
  <si>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</si>
  <si>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</si>
  <si>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</si>
  <si>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</si>
  <si>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</si>
  <si>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</si>
  <si>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</si>
  <si>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</si>
  <si>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</si>
  <si>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</si>
  <si>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</si>
  <si>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</si>
  <si>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</si>
  <si>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</si>
  <si>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</si>
  <si>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</si>
  <si>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</si>
  <si>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</si>
  <si>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</si>
  <si>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</si>
  <si>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</si>
  <si>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</si>
  <si>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</si>
  <si>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</si>
  <si>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</si>
  <si>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</si>
  <si>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</si>
  <si>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</si>
  <si>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</si>
  <si>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</si>
  <si>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</si>
  <si>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</si>
  <si>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</si>
  <si>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</si>
  <si>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</si>
  <si>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</si>
  <si>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</si>
  <si>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</si>
  <si>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</si>
  <si>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</si>
  <si>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</si>
  <si>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</si>
  <si>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</si>
  <si>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</si>
  <si>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</si>
  <si>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</si>
  <si>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</si>
  <si>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</si>
  <si>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</si>
  <si>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</si>
  <si>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</si>
  <si>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</si>
  <si>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</si>
  <si>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</si>
  <si>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</si>
  <si>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</si>
  <si>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</si>
  <si>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</si>
  <si>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</si>
  <si>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</si>
  <si>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</si>
  <si>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</si>
  <si>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</si>
  <si>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</si>
  <si>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</si>
  <si>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</si>
  <si>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</si>
  <si>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</si>
  <si>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</si>
  <si>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</si>
  <si>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</si>
  <si>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</si>
  <si>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</si>
  <si>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</si>
  <si>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</si>
  <si>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</si>
  <si>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</si>
  <si>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</si>
  <si>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</si>
  <si>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</si>
  <si>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</si>
  <si>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</si>
  <si>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</si>
  <si>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</si>
  <si>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</si>
  <si>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</si>
  <si>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</si>
  <si>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</si>
  <si>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</si>
  <si>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</si>
  <si>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</si>
  <si>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</si>
  <si>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</si>
  <si>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</si>
  <si>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</si>
  <si>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</si>
  <si>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</si>
  <si>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</si>
  <si>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</si>
  <si>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</si>
  <si>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</si>
  <si>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</si>
  <si>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</si>
  <si>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</si>
  <si>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</si>
  <si>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</si>
  <si>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</si>
  <si>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</si>
  <si>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</si>
  <si>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</si>
  <si>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</si>
  <si>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</si>
  <si>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</si>
  <si>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</si>
  <si>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</si>
  <si>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</si>
  <si>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</si>
  <si>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</si>
  <si>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</si>
  <si>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</si>
  <si>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</si>
  <si>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</si>
  <si>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</si>
  <si>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</si>
  <si>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</si>
  <si>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</si>
  <si>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</si>
  <si>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</si>
  <si>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</si>
  <si>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</si>
  <si>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</si>
  <si>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</si>
  <si>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</si>
  <si>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</si>
  <si>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</si>
  <si>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</si>
  <si>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</si>
  <si>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</si>
  <si>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</si>
  <si>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</si>
  <si>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</si>
  <si>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</si>
  <si>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</si>
  <si>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</si>
  <si>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</si>
  <si>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</si>
  <si>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</si>
  <si>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</si>
  <si>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</si>
  <si>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</si>
  <si>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</si>
  <si>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</si>
  <si>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</si>
  <si>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</si>
  <si>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</si>
  <si>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</si>
  <si>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</si>
  <si>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</si>
  <si>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</si>
  <si>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</si>
  <si>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</si>
  <si>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</si>
  <si>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</si>
  <si>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</si>
  <si>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</si>
  <si>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</si>
  <si>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</si>
  <si>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</si>
  <si>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</si>
  <si>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</si>
  <si>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</si>
  <si>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</si>
  <si>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</si>
  <si>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</si>
  <si>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</si>
  <si>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</si>
  <si>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</si>
  <si>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</si>
  <si>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</si>
  <si>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</si>
  <si>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</si>
  <si>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</si>
  <si>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</si>
  <si>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</si>
  <si>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</si>
  <si>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</si>
  <si>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</si>
  <si>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</si>
  <si>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</si>
  <si>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</si>
  <si>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</si>
  <si>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</si>
  <si>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</si>
  <si>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</si>
  <si>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</si>
  <si>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</si>
  <si>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</si>
  <si>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</si>
  <si>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</si>
  <si>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</si>
  <si>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</si>
  <si>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</si>
  <si>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</si>
  <si>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</si>
  <si>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</si>
  <si>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</si>
  <si>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</si>
  <si>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</si>
  <si>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</si>
  <si>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</si>
  <si>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</si>
  <si>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</si>
  <si>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</si>
  <si>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</si>
  <si>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</si>
  <si>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</si>
  <si>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</si>
  <si>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</si>
  <si>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</si>
  <si>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</si>
  <si>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</si>
  <si>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</si>
  <si>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</si>
  <si>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</si>
  <si>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</si>
  <si>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</si>
  <si>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</si>
  <si>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</si>
  <si>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</si>
  <si>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</si>
  <si>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</si>
  <si>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</si>
  <si>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</si>
  <si>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</si>
  <si>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</si>
  <si>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</si>
  <si>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</si>
  <si>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</si>
  <si>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</si>
  <si>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</si>
  <si>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</si>
  <si>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</si>
  <si>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</si>
  <si>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</si>
  <si>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</si>
  <si>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</si>
  <si>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</si>
  <si>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</si>
  <si>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</si>
  <si>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</si>
  <si>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</si>
  <si>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</si>
  <si>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</si>
  <si>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</si>
  <si>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</si>
  <si>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</si>
  <si>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</si>
  <si>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</si>
  <si>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</si>
  <si>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</si>
  <si>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</si>
  <si>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</si>
  <si>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</si>
  <si>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</si>
  <si>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</si>
  <si>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</si>
  <si>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</si>
  <si>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</si>
  <si>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</si>
  <si>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</si>
  <si>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</si>
  <si>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</si>
  <si>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</si>
  <si>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</si>
  <si>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</si>
  <si>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</si>
  <si>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</si>
  <si>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</si>
  <si>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</si>
  <si>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</si>
  <si>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</si>
  <si>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</si>
  <si>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</si>
  <si>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</si>
  <si>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</si>
  <si>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</si>
  <si>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</si>
  <si>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</si>
  <si>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</si>
  <si>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</si>
  <si>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</si>
  <si>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</si>
  <si>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</si>
  <si>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</si>
  <si>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</si>
  <si>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</si>
  <si>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</si>
  <si>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</si>
  <si>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</si>
  <si>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</si>
  <si>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</si>
  <si>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</si>
  <si>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</si>
  <si>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</si>
  <si>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</si>
  <si>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</si>
  <si>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</si>
  <si>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</si>
  <si>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</si>
  <si>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</si>
  <si>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</si>
  <si>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</si>
  <si>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</si>
  <si>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</si>
  <si>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</si>
  <si>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</si>
  <si>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</si>
  <si>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</si>
  <si>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</si>
  <si>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</si>
  <si>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</si>
  <si>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</si>
  <si>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</si>
  <si>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</si>
  <si>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</si>
  <si>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</si>
  <si>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</si>
  <si>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</si>
  <si>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</si>
  <si>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</si>
  <si>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</si>
  <si>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</si>
  <si>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</si>
  <si>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</si>
  <si>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</si>
  <si>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</si>
  <si>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</si>
  <si>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</si>
  <si>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</si>
  <si>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</si>
  <si>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</si>
  <si>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</si>
  <si>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</si>
  <si>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</si>
  <si>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</si>
  <si>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</si>
  <si>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</si>
  <si>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</si>
  <si>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</si>
  <si>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</si>
  <si>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</si>
  <si>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</si>
  <si>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</si>
  <si>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</si>
  <si>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</si>
  <si>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</si>
  <si>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</si>
  <si>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</si>
  <si>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</si>
  <si>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</si>
  <si>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</si>
  <si>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</si>
  <si>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</si>
  <si>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</si>
  <si>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</si>
  <si>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</si>
  <si>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</si>
  <si>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</si>
  <si>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</si>
  <si>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</si>
  <si>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</si>
  <si>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</si>
  <si>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</si>
  <si>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</si>
  <si>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</si>
  <si>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</si>
  <si>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</si>
  <si>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</si>
  <si>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</si>
  <si>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</si>
  <si>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</si>
  <si>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</si>
  <si>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</si>
  <si>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</si>
  <si>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</si>
  <si>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</si>
  <si>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</si>
  <si>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</si>
  <si>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</si>
  <si>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</si>
  <si>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</si>
  <si>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</si>
  <si>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</si>
  <si>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</si>
  <si>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</si>
  <si>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</si>
  <si>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</si>
  <si>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</si>
  <si>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</si>
  <si>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</si>
  <si>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</si>
  <si>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</si>
  <si>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</si>
  <si>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</si>
  <si>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</si>
  <si>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</si>
  <si>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</si>
  <si>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</si>
  <si>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</si>
  <si>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</si>
  <si>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</si>
  <si>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</si>
  <si>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</si>
  <si>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</si>
  <si>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</si>
  <si>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</si>
  <si>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</si>
  <si>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</si>
  <si>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</si>
  <si>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</si>
  <si>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</si>
  <si>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</si>
  <si>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</si>
  <si>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</si>
  <si>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</si>
  <si>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</si>
  <si>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</si>
  <si>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</si>
  <si>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</si>
  <si>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</si>
  <si>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</si>
  <si>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</si>
  <si>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</si>
  <si>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</si>
  <si>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</si>
  <si>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</si>
  <si>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</si>
  <si>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</si>
  <si>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</si>
  <si>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</si>
  <si>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</si>
  <si>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</si>
  <si>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</si>
  <si>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</si>
  <si>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</si>
  <si>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</si>
  <si>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</si>
  <si>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</si>
  <si>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</si>
  <si>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</si>
  <si>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</si>
  <si>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</si>
  <si>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</si>
  <si>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</si>
  <si>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</si>
  <si>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</si>
  <si>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</si>
  <si>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</si>
  <si>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</si>
  <si>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</si>
  <si>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</si>
  <si>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</si>
  <si>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</si>
  <si>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</si>
  <si>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</si>
  <si>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</si>
  <si>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</si>
  <si>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</si>
  <si>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</si>
  <si>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</si>
  <si>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</si>
  <si>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</si>
  <si>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</si>
  <si>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</si>
  <si>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</si>
  <si>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</si>
  <si>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</si>
  <si>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</si>
  <si>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</si>
  <si>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</si>
  <si>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</si>
  <si>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</si>
  <si>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</si>
  <si>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</si>
  <si>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</si>
  <si>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</si>
  <si>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</si>
  <si>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</si>
  <si>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</si>
  <si>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</si>
  <si>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</si>
  <si>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</si>
  <si>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</si>
  <si>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</si>
  <si>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</si>
  <si>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</si>
  <si>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</si>
  <si>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</si>
  <si>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</si>
  <si>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</si>
  <si>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</si>
  <si>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</si>
  <si>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</si>
  <si>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</si>
  <si>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</si>
  <si>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</si>
  <si>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</si>
  <si>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</si>
  <si>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</si>
  <si>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</si>
  <si>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</si>
  <si>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</si>
  <si>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</si>
  <si>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</si>
  <si>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</si>
  <si>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</si>
  <si>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</si>
  <si>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</si>
  <si>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</si>
  <si>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</si>
  <si>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</si>
  <si>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</si>
  <si>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</si>
  <si>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</si>
  <si>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</si>
  <si>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</si>
  <si>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</si>
  <si>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</si>
  <si>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</si>
  <si>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</si>
  <si>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</si>
  <si>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</si>
  <si>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</si>
  <si>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</si>
  <si>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</si>
  <si>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</si>
  <si>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</si>
  <si>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</si>
  <si>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</si>
  <si>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</si>
  <si>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</si>
  <si>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</si>
  <si>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</si>
  <si>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</si>
  <si>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</si>
  <si>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</si>
  <si>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</si>
  <si>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</si>
  <si>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</si>
  <si>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</si>
  <si>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</si>
  <si>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</si>
  <si>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</si>
  <si>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</si>
  <si>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</si>
  <si>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</si>
  <si>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</si>
  <si>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</si>
  <si>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</si>
  <si>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</si>
  <si>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</si>
  <si>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</si>
  <si>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</si>
  <si>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</si>
  <si>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</si>
  <si>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</si>
  <si>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</si>
  <si>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</si>
  <si>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</si>
  <si>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</si>
  <si>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</si>
  <si>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</si>
  <si>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</si>
  <si>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</si>
  <si>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</si>
  <si>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</si>
  <si>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</si>
  <si>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</si>
  <si>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</si>
  <si>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</si>
  <si>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</si>
  <si>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</si>
  <si>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</si>
  <si>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</si>
  <si>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</si>
  <si>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</si>
  <si>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</si>
  <si>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</si>
  <si>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</si>
  <si>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</si>
  <si>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</si>
  <si>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</si>
  <si>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</si>
  <si>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</si>
  <si>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</si>
  <si>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</si>
  <si>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</si>
  <si>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</si>
  <si>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</si>
  <si>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</si>
  <si>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</si>
  <si>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</si>
  <si>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</si>
  <si>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</si>
  <si>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</si>
  <si>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</si>
  <si>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</si>
  <si>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</si>
  <si>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</si>
  <si>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</si>
  <si>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</si>
  <si>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</si>
  <si>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</si>
  <si>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</si>
  <si>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</si>
  <si>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</si>
  <si>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</si>
  <si>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</si>
  <si>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</si>
  <si>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</si>
  <si>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</si>
  <si>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</si>
  <si>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</si>
  <si>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</si>
  <si>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</si>
  <si>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</si>
  <si>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</si>
  <si>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</si>
  <si>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</si>
  <si>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</si>
  <si>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</si>
  <si>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</si>
  <si>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</si>
  <si>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</si>
  <si>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</si>
  <si>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</si>
  <si>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</si>
  <si>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</si>
  <si>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</si>
  <si>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</si>
  <si>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</si>
  <si>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</si>
  <si>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</si>
  <si>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</si>
  <si>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</si>
  <si>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</si>
  <si>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</si>
  <si>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</si>
  <si>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</si>
  <si>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</si>
  <si>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</si>
  <si>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</si>
  <si>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</si>
  <si>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</si>
  <si>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</si>
  <si>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</si>
  <si>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</si>
  <si>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</si>
  <si>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</si>
  <si>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</si>
  <si>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</si>
  <si>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</si>
  <si>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</si>
  <si>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</si>
  <si>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</si>
  <si>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</si>
  <si>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</si>
  <si>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</si>
  <si>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</si>
  <si>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</si>
  <si>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</si>
  <si>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</si>
  <si>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</si>
  <si>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</si>
  <si>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</si>
  <si>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</si>
  <si>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</si>
  <si>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</si>
  <si>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</si>
  <si>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</si>
  <si>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</si>
  <si>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</si>
  <si>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</si>
  <si>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</si>
  <si>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</si>
  <si>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</si>
  <si>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</si>
  <si>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</si>
  <si>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</si>
  <si>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</si>
  <si>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</si>
  <si>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</si>
  <si>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</si>
  <si>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</si>
  <si>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</si>
  <si>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</si>
  <si>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</si>
  <si>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</si>
  <si>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</si>
  <si>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</si>
  <si>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</si>
  <si>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</si>
  <si>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</si>
  <si>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</si>
  <si>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</si>
  <si>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</si>
  <si>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</si>
  <si>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</si>
  <si>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</si>
  <si>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</si>
  <si>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</si>
  <si>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</si>
  <si>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</si>
  <si>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</si>
  <si>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</si>
  <si>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</si>
  <si>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</si>
  <si>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</si>
  <si>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</si>
  <si>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</si>
  <si>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</si>
  <si>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</si>
  <si>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</si>
  <si>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</si>
  <si>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</si>
  <si>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</si>
  <si>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</si>
  <si>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</si>
  <si>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</si>
  <si>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</si>
  <si>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</si>
  <si>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</si>
  <si>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</si>
  <si>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</si>
  <si>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</si>
  <si>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</si>
  <si>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</si>
  <si>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</si>
  <si>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</si>
  <si>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</si>
  <si>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</si>
  <si>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</si>
  <si>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</si>
  <si>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</si>
  <si>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</si>
  <si>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</si>
  <si>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</si>
  <si>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</si>
  <si>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</si>
  <si>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</si>
  <si>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</si>
  <si>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</si>
  <si>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</si>
  <si>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</si>
  <si>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</si>
  <si>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</si>
  <si>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</si>
  <si>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</si>
  <si>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</si>
  <si>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</si>
  <si>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</si>
  <si>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</si>
  <si>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</si>
  <si>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</si>
  <si>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</si>
  <si>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</si>
  <si>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</si>
  <si>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</si>
  <si>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</si>
  <si>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</si>
  <si>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</si>
  <si>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</si>
  <si>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</si>
  <si>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</si>
  <si>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</si>
  <si>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</si>
  <si>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</si>
  <si>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</si>
  <si>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</si>
  <si>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</si>
  <si>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</si>
  <si>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</si>
  <si>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</si>
  <si>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</si>
  <si>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</si>
  <si>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</si>
  <si>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</si>
  <si>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</si>
  <si>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</si>
  <si>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</si>
  <si>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</si>
  <si>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</si>
  <si>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</si>
  <si>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</si>
  <si>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</si>
  <si>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</si>
  <si>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</si>
  <si>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</si>
  <si>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</si>
  <si>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</si>
  <si>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</si>
  <si>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</si>
  <si>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</si>
  <si>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</si>
  <si>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</si>
  <si>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</si>
  <si>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</si>
  <si>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</si>
  <si>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</si>
  <si>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</si>
  <si>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</si>
  <si>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</si>
  <si>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</si>
  <si>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</si>
  <si>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</si>
  <si>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</si>
  <si>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</si>
  <si>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</si>
  <si>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</si>
  <si>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</si>
  <si>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</si>
  <si>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</si>
  <si>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</si>
  <si>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</si>
  <si>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</si>
  <si>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</si>
  <si>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</si>
  <si>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</si>
  <si>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</si>
  <si>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</si>
  <si>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</si>
  <si>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</si>
  <si>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</si>
  <si>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</si>
  <si>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</si>
  <si>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</si>
  <si>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</si>
  <si>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</si>
  <si>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</si>
  <si>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</si>
  <si>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</si>
  <si>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</si>
  <si>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</si>
  <si>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</si>
  <si>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</si>
  <si>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</si>
  <si>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</si>
  <si>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</si>
  <si>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</si>
  <si>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</si>
  <si>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</si>
  <si>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</si>
  <si>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</si>
  <si>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</si>
  <si>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</si>
  <si>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</si>
  <si>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</si>
  <si>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</si>
  <si>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</si>
  <si>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</si>
  <si>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</si>
  <si>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</si>
  <si>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</si>
  <si>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</si>
  <si>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</si>
  <si>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</si>
  <si>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</si>
  <si>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</si>
  <si>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</si>
  <si>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</si>
  <si>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</si>
  <si>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</si>
  <si>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</si>
  <si>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</si>
  <si>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</si>
  <si>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</si>
  <si>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</si>
  <si>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</si>
  <si>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</si>
  <si>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</si>
  <si>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</si>
  <si>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</si>
  <si>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</si>
  <si>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</si>
  <si>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</si>
  <si>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</si>
  <si>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</si>
  <si>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</si>
  <si>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</si>
  <si>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</si>
  <si>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</si>
  <si>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</si>
  <si>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</si>
  <si>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</si>
  <si>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</si>
  <si>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</si>
  <si>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</si>
  <si>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</si>
  <si>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</si>
  <si>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</si>
  <si>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</si>
  <si>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</si>
  <si>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</si>
  <si>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</si>
  <si>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</si>
  <si>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</si>
  <si>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</si>
  <si>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</si>
  <si>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</si>
  <si>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</si>
  <si>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</si>
  <si>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</si>
  <si>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</si>
  <si>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</si>
  <si>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</si>
  <si>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</si>
  <si>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</si>
  <si>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</si>
  <si>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</si>
  <si>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</si>
  <si>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</si>
  <si>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</si>
  <si>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</si>
  <si>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</si>
  <si>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</si>
  <si>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</si>
  <si>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</si>
  <si>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</si>
  <si>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</si>
  <si>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</si>
  <si>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</si>
  <si>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</si>
  <si>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</si>
  <si>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</si>
  <si>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</si>
  <si>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</si>
  <si>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</si>
  <si>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</si>
  <si>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</si>
  <si>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</si>
  <si>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</si>
  <si>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</si>
  <si>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</si>
  <si>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</si>
  <si>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</si>
  <si>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</si>
  <si>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</si>
  <si>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</si>
  <si>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</si>
  <si>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</si>
  <si>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</si>
  <si>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</si>
  <si>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</si>
  <si>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</si>
  <si>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</si>
  <si>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</si>
  <si>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</si>
  <si>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</si>
  <si>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</si>
  <si>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</si>
  <si>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</si>
  <si>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</si>
  <si>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</si>
  <si>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</si>
  <si>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</si>
  <si>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</si>
  <si>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</si>
  <si>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</si>
  <si>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</si>
  <si>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</si>
  <si>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</si>
  <si>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</si>
  <si>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</si>
  <si>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</si>
  <si>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</si>
  <si>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</si>
  <si>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</si>
  <si>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</si>
  <si>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</si>
  <si>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</si>
  <si>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</si>
  <si>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</si>
  <si>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</si>
  <si>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</si>
  <si>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</si>
  <si>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</si>
  <si>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</si>
  <si>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</si>
  <si>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</si>
  <si>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</si>
  <si>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</si>
  <si>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</si>
  <si>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</si>
  <si>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</si>
  <si>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</si>
  <si>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</si>
  <si>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</si>
  <si>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</si>
  <si>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</si>
  <si>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</si>
  <si>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</si>
  <si>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</si>
  <si>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</si>
  <si>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</si>
  <si>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</si>
  <si>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</si>
  <si>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</si>
  <si>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</si>
  <si>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</si>
  <si>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</si>
  <si>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</si>
  <si>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</si>
  <si>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</si>
  <si>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</si>
  <si>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</si>
  <si>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</si>
  <si>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</si>
  <si>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</si>
  <si>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</si>
  <si>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</si>
  <si>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</si>
  <si>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</si>
  <si>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</si>
  <si>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</si>
  <si>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</si>
  <si>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</si>
  <si>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</si>
  <si>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</si>
  <si>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</si>
  <si>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</si>
  <si>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</si>
  <si>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</si>
  <si>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</si>
  <si>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</si>
  <si>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</si>
  <si>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</si>
  <si>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</si>
  <si>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</si>
  <si>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</si>
  <si>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</si>
  <si>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</si>
  <si>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</si>
  <si>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</si>
  <si>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</si>
  <si>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</si>
  <si>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</si>
  <si>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</si>
  <si>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</si>
  <si>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</si>
  <si>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</si>
  <si>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</si>
  <si>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</si>
  <si>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</si>
  <si>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</si>
  <si>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</si>
  <si>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</si>
  <si>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</si>
  <si>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</si>
  <si>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</si>
  <si>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</si>
  <si>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</si>
  <si>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</si>
  <si>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</si>
  <si>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</si>
  <si>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</si>
  <si>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</si>
  <si>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</si>
  <si>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</si>
  <si>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</si>
  <si>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</si>
  <si>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</si>
  <si>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</si>
  <si>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</si>
  <si>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</si>
  <si>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</si>
  <si>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</si>
  <si>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</si>
  <si>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</si>
  <si>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</si>
  <si>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</si>
  <si>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</si>
  <si>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</si>
  <si>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</si>
  <si>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</si>
  <si>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</si>
  <si>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</si>
  <si>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</si>
  <si>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</si>
  <si>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</si>
  <si>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</si>
  <si>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</si>
  <si>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</si>
  <si>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</si>
  <si>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</si>
  <si>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</si>
  <si>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</si>
  <si>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</si>
  <si>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</si>
  <si>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</si>
  <si>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</si>
  <si>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</si>
  <si>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</si>
  <si>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</si>
  <si>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</si>
  <si>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</si>
  <si>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</si>
  <si>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</si>
  <si>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</si>
  <si>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</si>
  <si>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</si>
  <si>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</si>
  <si>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</si>
  <si>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</si>
  <si>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</si>
  <si>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</si>
  <si>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</si>
  <si>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</si>
  <si>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</si>
  <si>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</si>
  <si>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</si>
  <si>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</si>
  <si>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</si>
  <si>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</si>
  <si>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</si>
  <si>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</si>
  <si>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</si>
  <si>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</si>
  <si>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</si>
  <si>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</si>
  <si>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</si>
  <si>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</si>
  <si>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</si>
  <si>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</si>
  <si>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</si>
  <si>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</si>
  <si>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</si>
  <si>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</si>
  <si>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</si>
  <si>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</si>
  <si>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</si>
  <si>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</si>
  <si>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</si>
  <si>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</si>
  <si>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</si>
  <si>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</si>
  <si>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</si>
  <si>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</si>
  <si>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</si>
  <si>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</si>
  <si>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</si>
  <si>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</si>
  <si>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</si>
  <si>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</si>
  <si>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</si>
  <si>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</si>
  <si>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</si>
  <si>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</si>
  <si>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</si>
  <si>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</si>
  <si>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</si>
  <si>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</si>
  <si>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</si>
  <si>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</si>
  <si>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</si>
  <si>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</si>
  <si>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</si>
  <si>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</si>
  <si>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</si>
  <si>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</si>
  <si>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</si>
  <si>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</si>
  <si>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</si>
  <si>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</si>
  <si>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</si>
  <si>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</si>
  <si>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</si>
  <si>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</si>
  <si>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</si>
  <si>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</si>
  <si>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</si>
  <si>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</si>
  <si>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</si>
  <si>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</si>
  <si>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</si>
  <si>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</si>
  <si>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</si>
  <si>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</si>
  <si>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</si>
  <si>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</si>
  <si>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</si>
  <si>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</si>
  <si>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</si>
  <si>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</si>
  <si>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</si>
  <si>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</si>
  <si>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</si>
  <si>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</si>
  <si>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</si>
  <si>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</si>
  <si>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</si>
  <si>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</si>
  <si>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</si>
  <si>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</si>
  <si>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</si>
  <si>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</si>
  <si>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</si>
  <si>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</si>
  <si>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</si>
  <si>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</si>
  <si>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</si>
  <si>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</si>
  <si>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</si>
  <si>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</si>
  <si>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</si>
  <si>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</si>
  <si>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</si>
  <si>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</si>
  <si>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</si>
  <si>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</si>
  <si>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</si>
  <si>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</si>
  <si>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</si>
  <si>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</si>
  <si>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</si>
  <si>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</si>
  <si>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</si>
  <si>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</si>
  <si>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</si>
  <si>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</si>
  <si>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</si>
  <si>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</si>
  <si>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</si>
  <si>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</si>
  <si>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</si>
  <si>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</si>
  <si>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</si>
  <si>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</si>
  <si>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</si>
  <si>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</si>
  <si>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</si>
  <si>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</si>
  <si>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</si>
  <si>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</si>
  <si>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</si>
  <si>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</si>
  <si>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</si>
  <si>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</si>
  <si>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</si>
  <si>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</si>
  <si>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</si>
  <si>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</si>
  <si>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</si>
  <si>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</si>
  <si>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</si>
  <si>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</si>
  <si>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</si>
  <si>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</si>
  <si>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</si>
  <si>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</si>
  <si>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</si>
  <si>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</si>
  <si>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</si>
  <si>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</si>
  <si>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</si>
  <si>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</si>
  <si>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</si>
  <si>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</si>
  <si>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</si>
  <si>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</si>
  <si>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</si>
  <si>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</si>
  <si>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</si>
  <si>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</si>
  <si>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</si>
  <si>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</si>
  <si>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</si>
  <si>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</si>
  <si>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</si>
  <si>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</si>
  <si>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</si>
  <si>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</si>
  <si>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</si>
  <si>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</si>
  <si>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</si>
  <si>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</si>
  <si>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</si>
  <si>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</si>
  <si>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</si>
  <si>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</si>
  <si>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</si>
  <si>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</si>
  <si>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</si>
  <si>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</si>
  <si>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</si>
  <si>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</si>
  <si>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</si>
  <si>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</si>
  <si>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</si>
  <si>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</si>
  <si>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</si>
  <si>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</si>
  <si>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</si>
  <si>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</si>
  <si>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</si>
  <si>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</si>
  <si>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</si>
  <si>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</si>
  <si>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</si>
  <si>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</si>
  <si>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</si>
  <si>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</si>
  <si>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</si>
  <si>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</si>
  <si>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</si>
  <si>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</si>
  <si>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</si>
  <si>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</si>
  <si>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</si>
  <si>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</si>
  <si>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</si>
  <si>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</si>
  <si>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</si>
  <si>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</si>
  <si>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</si>
  <si>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</si>
  <si>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</si>
  <si>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</si>
  <si>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</si>
  <si>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</si>
  <si>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</si>
  <si>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</si>
  <si>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</si>
  <si>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</si>
  <si>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</si>
  <si>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</si>
  <si>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</si>
  <si>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</si>
  <si>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</si>
  <si>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</si>
  <si>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</si>
  <si>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</si>
  <si>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</si>
  <si>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</si>
  <si>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</si>
  <si>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</si>
  <si>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</si>
  <si>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</si>
  <si>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</si>
  <si>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</si>
  <si>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</si>
  <si>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</si>
  <si>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</si>
  <si>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</si>
  <si>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</si>
  <si>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</si>
  <si>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</si>
  <si>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</si>
  <si>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</si>
  <si>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</si>
  <si>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</si>
  <si>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</si>
  <si>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</si>
  <si>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</si>
  <si>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</si>
  <si>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</si>
  <si>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</si>
  <si>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</si>
  <si>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</si>
  <si>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</si>
  <si>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</si>
  <si>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</si>
  <si>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</si>
  <si>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</si>
  <si>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</si>
  <si>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</si>
  <si>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</si>
  <si>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</si>
  <si>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</si>
  <si>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</si>
  <si>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</si>
  <si>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</si>
  <si>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</si>
  <si>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</si>
  <si>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</si>
  <si>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</si>
  <si>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</si>
  <si>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</si>
  <si>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</si>
  <si>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</si>
  <si>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</si>
  <si>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</si>
  <si>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</si>
  <si>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</si>
  <si>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</si>
  <si>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</si>
  <si>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</si>
  <si>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</si>
  <si>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</si>
  <si>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</si>
  <si>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</si>
  <si>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</si>
  <si>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</si>
  <si>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</si>
  <si>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</si>
  <si>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</si>
  <si>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</si>
  <si>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</si>
  <si>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</si>
  <si>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</si>
  <si>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</si>
  <si>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</si>
  <si>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</si>
  <si>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</si>
  <si>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</si>
  <si>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</si>
  <si>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</si>
  <si>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</si>
  <si>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</si>
  <si>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</si>
  <si>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</si>
  <si>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</si>
  <si>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</si>
  <si>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</si>
  <si>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</si>
  <si>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</si>
  <si>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</si>
  <si>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</si>
  <si>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</si>
  <si>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</si>
  <si>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</si>
  <si>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</si>
  <si>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</si>
  <si>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</si>
  <si>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</si>
  <si>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</si>
  <si>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</si>
  <si>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</si>
  <si>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</si>
  <si>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</si>
  <si>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</si>
  <si>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</si>
  <si>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</si>
  <si>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</si>
  <si>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</si>
  <si>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</si>
  <si>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</si>
  <si>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</si>
  <si>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</si>
  <si>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</si>
  <si>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</si>
  <si>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</si>
  <si>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</si>
  <si>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</si>
  <si>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</si>
  <si>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</si>
  <si>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</si>
  <si>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</si>
  <si>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</si>
  <si>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</si>
  <si>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</si>
  <si>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</si>
  <si>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</si>
  <si>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</si>
  <si>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</si>
  <si>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</si>
  <si>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</si>
  <si>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</si>
  <si>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</si>
  <si>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</si>
  <si>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</si>
  <si>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</si>
  <si>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</si>
  <si>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</si>
  <si>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</si>
  <si>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</si>
  <si>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</si>
  <si>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</si>
  <si>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</si>
  <si>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</si>
  <si>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</si>
  <si>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</si>
  <si>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</si>
  <si>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</si>
  <si>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</si>
  <si>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</si>
  <si>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</si>
  <si>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</si>
  <si>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</si>
  <si>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</si>
  <si>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</si>
  <si>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</si>
  <si>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</si>
  <si>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</si>
  <si>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</si>
  <si>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</si>
  <si>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</si>
  <si>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</si>
  <si>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</si>
  <si>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</si>
  <si>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</si>
  <si>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</si>
  <si>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</si>
  <si>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</si>
  <si>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</si>
  <si>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</si>
  <si>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</si>
  <si>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</si>
  <si>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</si>
  <si>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</si>
  <si>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</si>
  <si>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</si>
  <si>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</si>
  <si>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</si>
  <si>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</si>
  <si>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</si>
  <si>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</si>
  <si>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</si>
  <si>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</si>
  <si>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</si>
  <si>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</si>
  <si>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</si>
  <si>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</si>
  <si>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</si>
  <si>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</si>
  <si>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</si>
  <si>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</si>
  <si>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</si>
  <si>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</si>
  <si>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</si>
  <si>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</si>
  <si>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</si>
  <si>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</si>
  <si>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</si>
  <si>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</si>
  <si>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</si>
  <si>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</si>
  <si>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</si>
  <si>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</si>
  <si>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</si>
  <si>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</si>
  <si>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</si>
  <si>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</si>
  <si>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</si>
  <si>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</si>
  <si>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</si>
  <si>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</si>
  <si>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</si>
  <si>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</si>
  <si>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</si>
  <si>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</si>
  <si>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</si>
  <si>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</si>
  <si>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</si>
  <si>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</si>
  <si>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</si>
  <si>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</si>
  <si>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</si>
  <si>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</si>
  <si>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</si>
  <si>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</si>
  <si>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</si>
  <si>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</si>
  <si>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</si>
  <si>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</si>
  <si>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</si>
  <si>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</si>
  <si>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</si>
  <si>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</si>
  <si>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</si>
  <si>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</si>
  <si>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</si>
  <si>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</si>
  <si>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</si>
  <si>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</si>
  <si>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</si>
  <si>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</si>
  <si>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</si>
  <si>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</si>
  <si>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</si>
  <si>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</si>
  <si>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</si>
  <si>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</si>
  <si>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</si>
  <si>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</si>
  <si>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</si>
  <si>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</si>
  <si>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</si>
  <si>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</si>
  <si>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</si>
  <si>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</si>
  <si>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</si>
  <si>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</si>
  <si>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</si>
  <si>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</si>
  <si>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</si>
  <si>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</si>
  <si>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</si>
  <si>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</si>
  <si>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</si>
  <si>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</si>
  <si>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</si>
  <si>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</si>
  <si>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</si>
  <si>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</si>
  <si>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</si>
  <si>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</si>
  <si>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</si>
  <si>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</si>
  <si>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</si>
  <si>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</si>
  <si>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</si>
  <si>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</si>
  <si>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</si>
  <si>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</si>
  <si>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</si>
  <si>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</si>
  <si>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</si>
  <si>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</si>
  <si>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</si>
  <si>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</si>
  <si>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</si>
  <si>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</si>
  <si>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</si>
  <si>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</si>
  <si>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</si>
  <si>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</si>
  <si>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</si>
  <si>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</si>
  <si>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</si>
  <si>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</si>
  <si>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</si>
  <si>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</si>
  <si>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</si>
  <si>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</si>
  <si>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</si>
  <si>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</si>
  <si>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</si>
  <si>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</si>
  <si>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</si>
  <si>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</si>
  <si>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</si>
  <si>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</si>
  <si>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</si>
  <si>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</si>
  <si>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</si>
  <si>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</si>
  <si>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</si>
  <si>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</si>
  <si>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</si>
  <si>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</si>
  <si>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</si>
  <si>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</si>
  <si>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</si>
  <si>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</si>
  <si>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</si>
  <si>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</si>
  <si>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</si>
  <si>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</si>
  <si>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</si>
  <si>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</si>
  <si>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</si>
  <si>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</si>
  <si>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</si>
  <si>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</si>
  <si>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</si>
  <si>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</si>
  <si>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</si>
  <si>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</si>
  <si>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</si>
  <si>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</si>
  <si>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</si>
  <si>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</si>
  <si>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</si>
  <si>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</si>
  <si>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</si>
  <si>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</si>
  <si>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</si>
  <si>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</si>
  <si>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</si>
  <si>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</si>
  <si>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</si>
  <si>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</si>
  <si>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</si>
  <si>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</si>
  <si>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</si>
  <si>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</si>
  <si>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</si>
  <si>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</si>
  <si>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</si>
  <si>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</si>
  <si>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</si>
  <si>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</si>
  <si>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</si>
  <si>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</si>
  <si>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</si>
  <si>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</si>
  <si>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</si>
  <si>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</si>
  <si>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</si>
  <si>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</si>
  <si>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</si>
  <si>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</si>
  <si>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</si>
  <si>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</si>
  <si>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</si>
  <si>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</si>
  <si>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</si>
  <si>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</si>
  <si>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</si>
  <si>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</si>
  <si>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</si>
  <si>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</si>
  <si>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</si>
  <si>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</si>
  <si>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</si>
  <si>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</si>
  <si>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</si>
  <si>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</si>
  <si>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</si>
  <si>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</si>
  <si>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</si>
  <si>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</si>
  <si>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</si>
  <si>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</si>
  <si>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</si>
  <si>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</si>
  <si>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</si>
  <si>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</si>
  <si>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</si>
  <si>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</si>
  <si>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</si>
  <si>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</si>
  <si>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</si>
  <si>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</si>
  <si>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</si>
  <si>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</si>
  <si>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</si>
  <si>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</si>
  <si>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</si>
  <si>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</si>
  <si>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</si>
  <si>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</si>
  <si>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</si>
  <si>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</si>
  <si>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</si>
  <si>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</si>
  <si>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</si>
  <si>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</si>
  <si>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</si>
  <si>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</si>
  <si>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</si>
  <si>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</si>
  <si>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</si>
  <si>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</si>
  <si>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</si>
  <si>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</si>
  <si>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</si>
  <si>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</si>
  <si>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</si>
  <si>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</si>
  <si>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</si>
  <si>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</si>
  <si>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</si>
  <si>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</si>
  <si>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</si>
  <si>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</si>
  <si>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</si>
  <si>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</si>
  <si>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</si>
  <si>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</si>
  <si>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</si>
  <si>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</si>
  <si>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</si>
  <si>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</si>
  <si>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</si>
  <si>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</si>
  <si>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</si>
  <si>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</si>
  <si>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</si>
  <si>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</si>
  <si>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</si>
  <si>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</si>
  <si>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</si>
  <si>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</si>
  <si>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</si>
  <si>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</si>
  <si>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</si>
  <si>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</si>
  <si>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</si>
  <si>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</si>
  <si>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</si>
  <si>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</si>
  <si>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</si>
  <si>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</si>
  <si>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</si>
  <si>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</si>
  <si>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</si>
  <si>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</si>
  <si>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</si>
  <si>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</si>
  <si>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</si>
  <si>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</si>
  <si>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</si>
  <si>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</si>
  <si>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</si>
  <si>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</si>
  <si>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</si>
  <si>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</si>
  <si>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</si>
  <si>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</si>
  <si>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</si>
  <si>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</si>
  <si>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</si>
  <si>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</si>
  <si>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</si>
  <si>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</si>
  <si>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</si>
  <si>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</si>
  <si>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</si>
  <si>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</si>
  <si>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</si>
  <si>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</si>
  <si>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</si>
  <si>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</si>
  <si>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</si>
  <si>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</si>
  <si>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</si>
  <si>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</si>
  <si>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</si>
  <si>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</si>
  <si>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</si>
  <si>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</si>
  <si>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</si>
  <si>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</si>
  <si>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</si>
  <si>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</si>
  <si>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</si>
  <si>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</si>
  <si>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</si>
  <si>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</si>
  <si>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</si>
  <si>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</si>
  <si>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</si>
  <si>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</si>
  <si>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</si>
  <si>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</si>
  <si>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</si>
  <si>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</si>
  <si>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</si>
  <si>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</si>
  <si>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</si>
  <si>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</si>
  <si>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</si>
  <si>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</si>
  <si>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</si>
  <si>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</si>
  <si>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</si>
  <si>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</si>
  <si>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</si>
  <si>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</si>
  <si>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</si>
  <si>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</si>
  <si>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</si>
  <si>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</si>
  <si>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</si>
  <si>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</si>
  <si>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</si>
  <si>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</si>
  <si>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</si>
  <si>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</si>
  <si>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</si>
  <si>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</si>
  <si>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</si>
  <si>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</si>
  <si>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</si>
  <si>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</si>
  <si>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</si>
  <si>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</si>
  <si>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</si>
  <si>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</si>
  <si>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</si>
  <si>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</si>
  <si>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</si>
  <si>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</si>
  <si>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</si>
  <si>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</si>
  <si>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</si>
  <si>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</si>
  <si>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</si>
  <si>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</si>
  <si>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</si>
  <si>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</si>
  <si>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</si>
  <si>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</si>
  <si>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</si>
  <si>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</si>
  <si>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</si>
  <si>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</si>
  <si>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</si>
  <si>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</si>
  <si>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</si>
  <si>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</si>
  <si>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</si>
  <si>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</si>
  <si>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</si>
  <si>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</si>
  <si>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</si>
  <si>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</si>
  <si>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</si>
  <si>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</si>
  <si>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</si>
  <si>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</si>
  <si>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</si>
  <si>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</si>
  <si>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</si>
  <si>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</si>
  <si>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</si>
  <si>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</si>
  <si>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</si>
  <si>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</si>
  <si>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</si>
  <si>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</si>
  <si>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</si>
  <si>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</si>
  <si>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</si>
  <si>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</si>
  <si>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</si>
  <si>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</si>
  <si>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</si>
  <si>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</si>
  <si>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</si>
  <si>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</si>
  <si>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</si>
  <si>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</si>
  <si>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</si>
  <si>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</si>
  <si>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</si>
  <si>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</si>
  <si>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</si>
  <si>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</si>
  <si>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</si>
  <si>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</si>
  <si>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</si>
  <si>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</si>
  <si>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</si>
  <si>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</si>
  <si>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</si>
  <si>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</si>
  <si>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</si>
  <si>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</si>
  <si>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</si>
  <si>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</si>
  <si>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</si>
  <si>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</si>
  <si>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</si>
  <si>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</si>
  <si>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</si>
  <si>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</si>
  <si>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</si>
  <si>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</si>
  <si>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</si>
  <si>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</si>
  <si>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</si>
  <si>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</si>
  <si>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</si>
  <si>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</si>
  <si>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</si>
  <si>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</si>
  <si>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</si>
  <si>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</si>
  <si>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</si>
  <si>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</si>
  <si>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</si>
  <si>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</si>
  <si>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</si>
  <si>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</si>
  <si>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</si>
  <si>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</si>
  <si>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</si>
  <si>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</si>
  <si>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</si>
  <si>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</si>
  <si>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</si>
  <si>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</si>
  <si>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</si>
  <si>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</si>
  <si>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</si>
  <si>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</si>
  <si>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</si>
  <si>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</si>
  <si>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</si>
  <si>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</si>
  <si>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</si>
  <si>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</si>
  <si>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</si>
  <si>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</si>
  <si>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</si>
  <si>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</si>
  <si>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</si>
  <si>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</si>
  <si>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</si>
  <si>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</si>
  <si>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</si>
  <si>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</si>
  <si>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</si>
  <si>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</si>
  <si>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</si>
  <si>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</si>
  <si>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</si>
  <si>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</si>
  <si>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</si>
  <si>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</si>
  <si>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</si>
  <si>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</si>
  <si>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</si>
  <si>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</si>
  <si>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</si>
  <si>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</si>
  <si>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</si>
  <si>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</si>
  <si>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</si>
  <si>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</si>
  <si>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</si>
  <si>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</si>
  <si>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</si>
  <si>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</si>
  <si>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</si>
  <si>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</si>
  <si>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</si>
  <si>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</si>
  <si>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</si>
  <si>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</si>
  <si>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</si>
  <si>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</si>
  <si>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</si>
  <si>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</si>
  <si>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</si>
  <si>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</si>
  <si>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</si>
  <si>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</si>
  <si>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</si>
  <si>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</si>
  <si>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</si>
  <si>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</si>
  <si>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</si>
  <si>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</si>
  <si>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</si>
  <si>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</si>
  <si>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</si>
  <si>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</si>
  <si>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</si>
  <si>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</si>
  <si>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</si>
  <si>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</si>
  <si>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</si>
  <si>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</si>
  <si>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</si>
  <si>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</si>
  <si>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</si>
  <si>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</si>
  <si>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</si>
  <si>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</si>
  <si>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</si>
  <si>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</si>
  <si>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</si>
  <si>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</si>
  <si>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</si>
  <si>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</si>
  <si>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</si>
  <si>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</si>
  <si>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</si>
  <si>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</si>
  <si>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</si>
  <si>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</si>
  <si>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</si>
  <si>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</si>
  <si>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</si>
  <si>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</si>
  <si>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</si>
  <si>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</si>
  <si>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</si>
  <si>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</si>
  <si>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</si>
  <si>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</si>
  <si>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</si>
  <si>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</si>
  <si>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</si>
  <si>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</si>
  <si>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</si>
  <si>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</si>
  <si>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</si>
  <si>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</si>
  <si>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</si>
  <si>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</si>
  <si>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</si>
  <si>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</si>
  <si>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</si>
  <si>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</si>
  <si>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</si>
  <si>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</si>
  <si>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</si>
  <si>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</si>
  <si>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</si>
  <si>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</si>
  <si>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</si>
  <si>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</si>
  <si>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</si>
  <si>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</si>
  <si>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</si>
  <si>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</si>
  <si>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</si>
  <si>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</si>
  <si>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</si>
  <si>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</si>
  <si>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</si>
  <si>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</si>
  <si>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</si>
  <si>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</si>
  <si>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</si>
  <si>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</si>
  <si>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</si>
  <si>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</si>
  <si>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</si>
  <si>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</si>
  <si>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</si>
  <si>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</si>
  <si>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</si>
  <si>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</si>
  <si>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</si>
  <si>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</si>
  <si>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</si>
  <si>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</si>
  <si>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</si>
  <si>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</si>
  <si>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</si>
  <si>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</si>
  <si>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</si>
  <si>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</si>
  <si>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</si>
  <si>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</si>
  <si>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</si>
  <si>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</si>
  <si>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</si>
  <si>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</si>
  <si>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</si>
  <si>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</si>
  <si>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</si>
  <si>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</si>
  <si>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</si>
  <si>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</si>
  <si>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</si>
  <si>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</si>
  <si>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</si>
  <si>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</si>
  <si>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</si>
  <si>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</si>
  <si>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</si>
  <si>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</si>
  <si>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</si>
  <si>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</si>
  <si>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</si>
  <si>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</si>
  <si>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</si>
  <si>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</si>
  <si>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</si>
  <si>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</si>
  <si>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</si>
  <si>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</si>
  <si>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</si>
  <si>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</si>
  <si>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</si>
  <si>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</si>
  <si>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</si>
  <si>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</si>
  <si>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</si>
  <si>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</si>
  <si>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</si>
  <si>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</si>
  <si>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</si>
  <si>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</si>
  <si>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</si>
  <si>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</si>
  <si>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</si>
  <si>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</si>
  <si>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</si>
  <si>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</si>
  <si>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</si>
  <si>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</si>
  <si>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</si>
  <si>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</si>
  <si>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</si>
  <si>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</si>
  <si>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</si>
  <si>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</si>
  <si>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</si>
  <si>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</si>
  <si>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</si>
  <si>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</si>
  <si>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</si>
  <si>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</si>
  <si>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</si>
  <si>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</si>
  <si>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</si>
  <si>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</si>
  <si>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</si>
  <si>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</si>
  <si>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</si>
  <si>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</si>
  <si>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</si>
  <si>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</si>
  <si>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</si>
  <si>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</si>
  <si>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</si>
  <si>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</si>
  <si>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</si>
  <si>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</si>
  <si>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</si>
  <si>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</si>
  <si>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</si>
  <si>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</si>
  <si>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</si>
  <si>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</si>
  <si>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</si>
  <si>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</si>
  <si>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</si>
  <si>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</si>
  <si>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</si>
  <si>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</si>
  <si>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</si>
  <si>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</si>
  <si>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</si>
  <si>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</si>
  <si>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</si>
  <si>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</si>
  <si>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</si>
  <si>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</si>
  <si>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</si>
  <si>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</si>
  <si>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</si>
  <si>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</si>
  <si>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</si>
  <si>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</si>
  <si>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</si>
  <si>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</si>
  <si>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</si>
  <si>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</si>
  <si>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</si>
  <si>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</si>
  <si>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</si>
  <si>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</si>
  <si>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</si>
  <si>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</si>
  <si>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</si>
  <si>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</si>
  <si>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</si>
  <si>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</si>
  <si>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</si>
  <si>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</si>
  <si>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</si>
  <si>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</si>
  <si>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</si>
  <si>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</si>
  <si>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</si>
  <si>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</si>
  <si>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</si>
  <si>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</si>
  <si>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</si>
  <si>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</si>
  <si>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</si>
  <si>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</si>
  <si>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</si>
  <si>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</si>
  <si>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</si>
  <si>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</si>
  <si>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</si>
  <si>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</si>
  <si>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</si>
  <si>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</si>
  <si>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</si>
  <si>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</si>
  <si>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</si>
  <si>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</si>
  <si>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</si>
  <si>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</si>
  <si>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</si>
  <si>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</si>
  <si>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</si>
  <si>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</si>
  <si>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</si>
  <si>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</si>
  <si>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</si>
  <si>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</si>
  <si>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</si>
  <si>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</si>
  <si>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</si>
  <si>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</si>
  <si>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</si>
  <si>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</si>
  <si>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</si>
  <si>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</si>
  <si>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</si>
  <si>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</si>
  <si>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</si>
  <si>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</si>
  <si>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</si>
  <si>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</si>
  <si>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</si>
  <si>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</si>
  <si>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</si>
  <si>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</si>
  <si>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</si>
  <si>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</si>
  <si>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</si>
  <si>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</si>
  <si>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</si>
  <si>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</si>
  <si>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</si>
  <si>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</si>
  <si>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</si>
  <si>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</si>
  <si>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</si>
  <si>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</si>
  <si>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</si>
  <si>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</si>
  <si>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</si>
  <si>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</si>
  <si>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</si>
  <si>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</si>
  <si>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</si>
  <si>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</si>
  <si>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</si>
  <si>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</si>
  <si>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</si>
  <si>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</si>
  <si>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</si>
  <si>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</si>
  <si>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</si>
  <si>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</si>
  <si>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</si>
  <si>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</si>
  <si>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</si>
  <si>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</si>
  <si>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</si>
  <si>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</si>
  <si>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</si>
  <si>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</si>
  <si>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</si>
  <si>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</si>
  <si>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</si>
  <si>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</si>
  <si>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</si>
  <si>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</si>
  <si>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</si>
  <si>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</si>
  <si>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</si>
  <si>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</si>
  <si>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</si>
  <si>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</si>
  <si>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</si>
  <si>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</si>
  <si>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</si>
  <si>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</si>
  <si>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</si>
  <si>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</si>
  <si>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</si>
  <si>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</si>
  <si>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</si>
  <si>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</si>
  <si>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</si>
  <si>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</si>
  <si>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</si>
  <si>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</si>
  <si>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</si>
  <si>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</si>
  <si>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</si>
  <si>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</si>
  <si>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</si>
  <si>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</si>
  <si>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</si>
  <si>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</si>
  <si>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</si>
  <si>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</si>
  <si>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</si>
  <si>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</si>
  <si>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</si>
  <si>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</si>
  <si>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</si>
  <si>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</si>
  <si>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</si>
  <si>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</si>
  <si>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</si>
  <si>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</si>
  <si>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</si>
  <si>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</si>
  <si>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</si>
  <si>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</si>
  <si>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</si>
  <si>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</si>
  <si>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</si>
  <si>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</si>
  <si>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</si>
  <si>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</si>
  <si>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</si>
  <si>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</si>
  <si>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</si>
  <si>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</si>
  <si>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</si>
  <si>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</si>
  <si>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</si>
  <si>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</si>
  <si>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</si>
  <si>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</si>
  <si>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</si>
  <si>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</si>
  <si>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</si>
  <si>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</si>
  <si>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</si>
  <si>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</si>
  <si>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</si>
  <si>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</si>
  <si>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</si>
  <si>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</si>
  <si>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</si>
  <si>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</si>
  <si>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</si>
  <si>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</si>
  <si>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</si>
  <si>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</si>
  <si>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</si>
  <si>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</si>
  <si>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</si>
  <si>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</si>
  <si>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</si>
  <si>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</si>
  <si>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</si>
  <si>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</si>
  <si>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</si>
  <si>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</si>
  <si>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</si>
  <si>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</si>
  <si>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</si>
  <si>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</si>
  <si>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</si>
  <si>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</si>
  <si>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</si>
  <si>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</si>
  <si>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</si>
  <si>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</si>
  <si>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</si>
  <si>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</si>
  <si>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</si>
  <si>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</si>
  <si>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</si>
  <si>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</si>
  <si>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</si>
  <si>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</si>
  <si>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</si>
  <si>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</si>
  <si>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</si>
  <si>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</si>
  <si>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</si>
  <si>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</si>
  <si>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</si>
  <si>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</si>
  <si>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</si>
  <si>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</si>
  <si>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</si>
  <si>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</si>
  <si>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</si>
  <si>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</si>
  <si>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</si>
  <si>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</si>
  <si>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</si>
  <si>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</si>
  <si>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</si>
  <si>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</si>
  <si>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</si>
  <si>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</si>
  <si>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</si>
  <si>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</si>
  <si>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</si>
  <si>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</si>
  <si>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</si>
  <si>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</si>
  <si>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</si>
  <si>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</si>
  <si>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</si>
  <si>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</si>
  <si>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</si>
  <si>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</si>
  <si>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</si>
  <si>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</si>
  <si>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</si>
  <si>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</si>
  <si>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</si>
  <si>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</si>
  <si>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</si>
  <si>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</si>
  <si>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</si>
  <si>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</si>
  <si>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</si>
  <si>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</si>
  <si>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</si>
  <si>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</si>
  <si>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</si>
  <si>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</si>
  <si>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</si>
  <si>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</si>
  <si>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</si>
  <si>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</si>
  <si>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</si>
  <si>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</si>
  <si>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</si>
  <si>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</si>
  <si>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</si>
  <si>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</si>
  <si>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</si>
  <si>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</si>
  <si>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</si>
  <si>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</si>
  <si>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</si>
  <si>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</si>
  <si>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</si>
  <si>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</si>
  <si>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</si>
  <si>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</si>
  <si>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</si>
  <si>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</si>
  <si>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</si>
  <si>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</si>
  <si>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</si>
  <si>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</si>
  <si>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</si>
  <si>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</si>
  <si>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</si>
  <si>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</si>
  <si>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</si>
  <si>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</si>
  <si>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</si>
  <si>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</si>
  <si>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</si>
  <si>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</si>
  <si>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</si>
  <si>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</si>
  <si>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</si>
  <si>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</si>
  <si>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</si>
  <si>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</si>
  <si>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</si>
  <si>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</si>
  <si>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</si>
  <si>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</si>
  <si>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</si>
  <si>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</si>
  <si>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</si>
  <si>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</si>
  <si>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</si>
  <si>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</si>
  <si>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</si>
  <si>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</si>
  <si>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</si>
  <si>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</si>
  <si>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</si>
  <si>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</si>
  <si>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</si>
  <si>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</si>
  <si>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</si>
  <si>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</si>
  <si>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</si>
  <si>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</si>
  <si>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</si>
  <si>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</si>
  <si>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</si>
  <si>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</si>
  <si>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</si>
  <si>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</si>
  <si>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</si>
  <si>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</si>
  <si>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</si>
  <si>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</si>
  <si>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</si>
  <si>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</si>
  <si>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</si>
  <si>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</si>
  <si>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</si>
  <si>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</si>
  <si>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</si>
  <si>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</si>
  <si>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</si>
  <si>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</si>
  <si>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</si>
  <si>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</si>
  <si>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</si>
  <si>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</si>
  <si>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</si>
  <si>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</si>
  <si>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</si>
  <si>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</si>
  <si>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</si>
  <si>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</si>
  <si>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</si>
  <si>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</si>
  <si>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</si>
  <si>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</si>
  <si>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</si>
  <si>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</si>
  <si>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</si>
  <si>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</si>
  <si>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</si>
  <si>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</si>
  <si>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</si>
  <si>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</si>
  <si>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</si>
  <si>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</si>
  <si>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</si>
  <si>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</si>
  <si>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</si>
  <si>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</si>
  <si>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</si>
  <si>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</si>
  <si>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</si>
  <si>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</si>
  <si>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</si>
  <si>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</si>
  <si>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</si>
  <si>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</si>
  <si>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</si>
  <si>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</si>
  <si>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</si>
  <si>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</si>
  <si>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</si>
  <si>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</si>
  <si>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</si>
  <si>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</si>
  <si>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</si>
  <si>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</si>
  <si>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</si>
  <si>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</si>
  <si>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</si>
  <si>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</si>
  <si>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</si>
  <si>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</si>
  <si>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</si>
  <si>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</si>
  <si>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</si>
  <si>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</si>
  <si>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</si>
  <si>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</si>
  <si>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</si>
  <si>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</si>
  <si>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</si>
  <si>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</si>
  <si>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</si>
  <si>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</si>
  <si>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</si>
  <si>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</si>
  <si>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</si>
  <si>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</si>
  <si>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</si>
  <si>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</si>
  <si>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</si>
  <si>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</si>
  <si>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</si>
  <si>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</si>
  <si>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</si>
  <si>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</si>
  <si>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</si>
  <si>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</si>
  <si>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</si>
  <si>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</si>
  <si>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</si>
  <si>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</si>
  <si>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</si>
  <si>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</si>
  <si>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</si>
  <si>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</si>
  <si>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</si>
  <si>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</si>
  <si>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</si>
  <si>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</si>
  <si>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</si>
  <si>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</si>
  <si>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</si>
  <si>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</si>
  <si>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</si>
  <si>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</si>
  <si>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</si>
  <si>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</si>
  <si>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</si>
  <si>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</si>
  <si>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</si>
  <si>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</si>
  <si>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</si>
  <si>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</si>
  <si>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</si>
  <si>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</si>
  <si>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</si>
  <si>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</si>
  <si>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</si>
  <si>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</si>
  <si>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</si>
  <si>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</si>
  <si>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</si>
  <si>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</si>
  <si>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</si>
  <si>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</si>
  <si>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</si>
  <si>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</si>
  <si>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</si>
  <si>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</si>
  <si>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</si>
  <si>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</si>
  <si>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</si>
  <si>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</si>
  <si>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</si>
  <si>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</si>
  <si>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</si>
  <si>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</si>
  <si>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</si>
  <si>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</si>
  <si>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</si>
  <si>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</si>
  <si>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</si>
  <si>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</si>
  <si>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</si>
  <si>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</si>
  <si>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</si>
  <si>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</si>
  <si>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</si>
  <si>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</si>
  <si>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</si>
  <si>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</si>
  <si>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</si>
  <si>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</si>
  <si>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</si>
  <si>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</si>
  <si>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</si>
  <si>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</si>
  <si>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</si>
  <si>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</si>
  <si>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</si>
  <si>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</si>
  <si>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</si>
  <si>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</si>
  <si>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</si>
  <si>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</si>
  <si>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</si>
  <si>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</si>
  <si>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</si>
  <si>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</si>
  <si>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</si>
  <si>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</si>
  <si>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</si>
  <si>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</si>
  <si>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</si>
  <si>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</si>
  <si>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</si>
  <si>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</si>
  <si>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</si>
  <si>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</si>
  <si>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</si>
  <si>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</si>
  <si>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</si>
  <si>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</si>
  <si>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</si>
  <si>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</si>
  <si>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</si>
  <si>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</si>
  <si>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</si>
  <si>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</si>
  <si>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</si>
  <si>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</si>
  <si>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</si>
  <si>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</si>
  <si>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</si>
  <si>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</si>
  <si>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</si>
  <si>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</si>
  <si>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</si>
  <si>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</si>
  <si>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</si>
  <si>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</si>
  <si>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</si>
  <si>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</si>
  <si>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</si>
  <si>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</si>
  <si>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</si>
  <si>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</si>
  <si>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</si>
  <si>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</si>
  <si>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</si>
  <si>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</si>
  <si>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</si>
  <si>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</si>
  <si>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</si>
  <si>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</si>
  <si>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</si>
  <si>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</si>
  <si>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</si>
  <si>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</si>
  <si>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</si>
  <si>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</si>
  <si>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</si>
  <si>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</si>
  <si>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</si>
  <si>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</si>
  <si>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</si>
  <si>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</si>
  <si>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</si>
  <si>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</si>
  <si>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</si>
  <si>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</si>
  <si>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</si>
  <si>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</si>
  <si>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</si>
  <si>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</si>
  <si>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</si>
  <si>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</si>
  <si>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</si>
  <si>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</si>
  <si>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</si>
  <si>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</si>
  <si>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</si>
  <si>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</si>
  <si>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</si>
  <si>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</si>
  <si>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</si>
  <si>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</si>
  <si>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</si>
  <si>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</si>
  <si>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</si>
  <si>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</si>
  <si>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</si>
  <si>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</si>
  <si>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</si>
  <si>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</si>
  <si>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</si>
  <si>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</si>
  <si>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</si>
  <si>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</si>
  <si>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</si>
  <si>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</si>
  <si>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</si>
  <si>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</si>
  <si>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</si>
  <si>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</si>
  <si>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</si>
  <si>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</si>
  <si>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</si>
  <si>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</si>
  <si>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</si>
  <si>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</si>
  <si>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</si>
  <si>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</si>
  <si>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</si>
  <si>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</si>
  <si>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</si>
  <si>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</si>
  <si>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</si>
  <si>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</si>
  <si>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</si>
  <si>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</si>
  <si>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</si>
  <si>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</si>
  <si>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</si>
  <si>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</si>
  <si>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</si>
  <si>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</si>
  <si>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</si>
  <si>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</si>
  <si>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</si>
  <si>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</si>
  <si>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</si>
  <si>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</si>
  <si>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</si>
  <si>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</si>
  <si>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</si>
  <si>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</si>
  <si>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</si>
  <si>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</si>
  <si>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</si>
  <si>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</si>
  <si>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</si>
  <si>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</si>
  <si>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</si>
  <si>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</si>
  <si>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</si>
  <si>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</si>
  <si>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</si>
  <si>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</si>
  <si>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</si>
  <si>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</si>
  <si>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</si>
  <si>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</si>
  <si>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</si>
  <si>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</si>
  <si>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</si>
  <si>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</si>
  <si>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</si>
  <si>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</si>
  <si>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</si>
  <si>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</si>
  <si>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</si>
  <si>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</si>
  <si>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</si>
  <si>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</si>
  <si>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</si>
  <si>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</si>
  <si>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</si>
  <si>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</si>
  <si>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</si>
  <si>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</si>
  <si>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</si>
  <si>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</si>
  <si>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</si>
  <si>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</si>
  <si>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</si>
  <si>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</si>
  <si>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</si>
  <si>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</si>
  <si>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</si>
  <si>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</si>
  <si>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</si>
  <si>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</si>
  <si>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</si>
  <si>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</si>
  <si>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</si>
  <si>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</si>
  <si>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</si>
  <si>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</si>
  <si>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</si>
  <si>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</si>
  <si>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</si>
  <si>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</si>
  <si>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</si>
  <si>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</si>
  <si>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</si>
  <si>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</si>
  <si>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</si>
  <si>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</si>
  <si>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</si>
  <si>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</si>
  <si>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</si>
  <si>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</si>
  <si>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</si>
  <si>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</si>
  <si>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</si>
  <si>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</si>
  <si>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</si>
  <si>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</si>
  <si>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</si>
  <si>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</si>
  <si>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</si>
  <si>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</si>
  <si>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</si>
  <si>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</si>
  <si>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</si>
  <si>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</si>
  <si>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</si>
  <si>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</si>
  <si>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</si>
  <si>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</si>
  <si>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</si>
  <si>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</si>
  <si>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</si>
  <si>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</si>
  <si>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</si>
  <si>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</si>
  <si>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</si>
  <si>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</si>
  <si>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</si>
  <si>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</si>
  <si>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</si>
  <si>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</si>
  <si>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</si>
  <si>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</si>
  <si>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</si>
  <si>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</si>
  <si>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</si>
  <si>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</si>
  <si>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</si>
  <si>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</si>
  <si>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</si>
  <si>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</si>
  <si>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</si>
  <si>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</si>
  <si>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</si>
  <si>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</si>
  <si>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</si>
  <si>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</si>
  <si>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</si>
  <si>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</si>
  <si>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</si>
  <si>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</si>
  <si>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</si>
  <si>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</si>
  <si>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</si>
  <si>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</si>
  <si>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</si>
  <si>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</si>
  <si>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</si>
  <si>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</si>
  <si>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</si>
  <si>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</si>
  <si>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</si>
  <si>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</si>
  <si>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</si>
  <si>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</si>
  <si>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</si>
  <si>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</si>
  <si>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</si>
  <si>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</si>
  <si>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</si>
  <si>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</si>
  <si>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</si>
  <si>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</si>
  <si>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</si>
  <si>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</si>
  <si>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</si>
  <si>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</si>
  <si>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</si>
  <si>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</si>
  <si>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</si>
  <si>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</si>
  <si>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</si>
  <si>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</si>
  <si>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</si>
  <si>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</si>
  <si>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</si>
  <si>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</si>
  <si>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</si>
  <si>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</si>
  <si>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</si>
  <si>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</si>
  <si>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</si>
  <si>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</si>
  <si>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</si>
  <si>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</si>
  <si>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</si>
  <si>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</si>
  <si>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</si>
  <si>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</si>
  <si>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</si>
  <si>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</si>
  <si>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</si>
  <si>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</si>
  <si>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</si>
  <si>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</si>
  <si>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</si>
  <si>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</si>
  <si>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</si>
  <si>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</si>
  <si>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</si>
  <si>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</si>
  <si>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</si>
  <si>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</si>
  <si>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</si>
  <si>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</si>
  <si>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</si>
  <si>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</si>
  <si>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</si>
  <si>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</si>
  <si>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</si>
  <si>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</si>
  <si>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</si>
  <si>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</si>
  <si>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</si>
  <si>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</si>
  <si>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</si>
  <si>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</si>
  <si>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</si>
  <si>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</si>
  <si>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</si>
  <si>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</si>
  <si>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</si>
  <si>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</si>
  <si>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</si>
  <si>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</si>
  <si>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</si>
  <si>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</si>
  <si>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</si>
  <si>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</si>
  <si>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</si>
  <si>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</si>
  <si>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</si>
  <si>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</si>
  <si>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</si>
  <si>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</si>
  <si>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</si>
  <si>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</si>
  <si>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</si>
  <si>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</si>
  <si>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</si>
  <si>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</si>
  <si>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</si>
  <si>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</si>
  <si>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</si>
  <si>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</si>
  <si>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</si>
  <si>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</si>
  <si>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</si>
  <si>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</si>
  <si>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</si>
  <si>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</si>
  <si>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</si>
  <si>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</si>
  <si>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</si>
  <si>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</si>
  <si>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</si>
  <si>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</si>
  <si>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</si>
  <si>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</si>
  <si>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</si>
  <si>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</si>
  <si>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</si>
  <si>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</si>
  <si>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</si>
  <si>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</si>
  <si>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</si>
  <si>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</si>
  <si>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</si>
  <si>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</si>
  <si>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</si>
  <si>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</si>
  <si>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</si>
  <si>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</si>
  <si>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</si>
  <si>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</si>
  <si>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</si>
  <si>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</si>
  <si>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</si>
  <si>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</si>
  <si>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</si>
  <si>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</si>
  <si>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</si>
  <si>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</si>
  <si>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</si>
  <si>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</si>
  <si>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</si>
  <si>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</si>
  <si>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</si>
  <si>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</si>
  <si>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</si>
  <si>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</si>
  <si>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</si>
  <si>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</si>
  <si>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</si>
  <si>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</si>
  <si>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</si>
  <si>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</si>
  <si>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</si>
  <si>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</si>
  <si>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</si>
  <si>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</si>
  <si>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</si>
  <si>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</si>
  <si>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</si>
  <si>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</si>
  <si>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</si>
  <si>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</si>
  <si>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</si>
  <si>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</si>
  <si>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</si>
  <si>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</si>
  <si>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</si>
  <si>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</si>
  <si>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</si>
  <si>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</si>
  <si>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</si>
  <si>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</si>
  <si>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</si>
  <si>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</si>
  <si>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</si>
  <si>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</si>
  <si>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</si>
  <si>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</si>
  <si>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</si>
  <si>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</si>
  <si>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</si>
  <si>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</si>
  <si>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</si>
  <si>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</si>
  <si>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</si>
  <si>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</si>
  <si>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</si>
  <si>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</si>
  <si>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</si>
  <si>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</si>
  <si>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</si>
  <si>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</si>
  <si>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</si>
  <si>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</si>
  <si>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</si>
  <si>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</si>
  <si>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</si>
  <si>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</si>
  <si>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</si>
  <si>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</si>
  <si>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</si>
  <si>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</si>
  <si>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</si>
  <si>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</si>
  <si>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</si>
  <si>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</si>
  <si>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</si>
  <si>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</si>
  <si>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</si>
  <si>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</si>
  <si>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</si>
  <si>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</si>
  <si>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</si>
  <si>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</si>
  <si>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</si>
  <si>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</si>
  <si>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</si>
  <si>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</si>
  <si>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</si>
  <si>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</si>
  <si>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</si>
  <si>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</si>
  <si>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</si>
  <si>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</si>
  <si>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</si>
  <si>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</si>
  <si>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</si>
  <si>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</si>
  <si>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</si>
  <si>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</si>
  <si>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</si>
  <si>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</si>
  <si>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</si>
  <si>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</si>
  <si>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</si>
  <si>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</si>
  <si>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</si>
  <si>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</si>
  <si>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</si>
  <si>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</si>
  <si>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</si>
  <si>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</si>
  <si>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</si>
  <si>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</si>
  <si>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</si>
  <si>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</si>
  <si>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</si>
  <si>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</si>
  <si>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</si>
  <si>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</si>
  <si>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</si>
  <si>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</si>
  <si>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</si>
  <si>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</si>
  <si>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</si>
  <si>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</si>
  <si>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</si>
  <si>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</si>
  <si>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</si>
  <si>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</si>
  <si>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</si>
  <si>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</si>
  <si>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</si>
  <si>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</si>
  <si>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</si>
  <si>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</si>
  <si>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</si>
  <si>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</si>
  <si>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</si>
  <si>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</si>
  <si>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</si>
  <si>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</si>
  <si>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</si>
  <si>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</si>
  <si>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</si>
  <si>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</si>
  <si>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</si>
  <si>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</si>
  <si>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</si>
  <si>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</si>
  <si>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</si>
  <si>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</si>
  <si>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</si>
  <si>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</si>
  <si>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</si>
  <si>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</si>
  <si>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</si>
  <si>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</si>
  <si>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</si>
  <si>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</si>
  <si>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</si>
  <si>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</si>
  <si>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</si>
  <si>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</si>
  <si>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</si>
  <si>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</si>
  <si>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</si>
  <si>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</si>
  <si>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</si>
  <si>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</si>
  <si>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</si>
  <si>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</si>
  <si>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</si>
  <si>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</si>
  <si>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</si>
  <si>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</si>
  <si>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</si>
  <si>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</si>
  <si>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</si>
  <si>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</si>
  <si>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</si>
  <si>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</si>
  <si>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</si>
  <si>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</si>
  <si>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</si>
  <si>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</si>
  <si>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</si>
  <si>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</si>
  <si>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</si>
  <si>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</si>
  <si>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</si>
  <si>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</si>
  <si>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</si>
  <si>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</si>
  <si>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</si>
  <si>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</si>
  <si>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</si>
  <si>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</si>
  <si>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</si>
  <si>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</si>
  <si>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</si>
  <si>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</si>
  <si>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</si>
  <si>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</si>
  <si>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</si>
  <si>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</si>
  <si>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</si>
  <si>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</si>
  <si>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</si>
  <si>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</si>
  <si>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</si>
  <si>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</si>
  <si>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</si>
  <si>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</si>
  <si>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</si>
  <si>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</si>
  <si>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</si>
  <si>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</si>
  <si>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</si>
  <si>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</si>
  <si>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</si>
  <si>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</si>
  <si>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</si>
  <si>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</si>
  <si>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</si>
  <si>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</si>
  <si>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</si>
  <si>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</si>
  <si>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</si>
  <si>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</si>
  <si>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</si>
  <si>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</si>
  <si>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</si>
  <si>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</si>
  <si>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</si>
  <si>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</si>
  <si>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</si>
  <si>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</si>
  <si>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</si>
  <si>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</si>
  <si>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</si>
  <si>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</si>
  <si>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</si>
  <si>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</si>
  <si>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</si>
  <si>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</si>
  <si>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</si>
  <si>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</si>
  <si>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</si>
  <si>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</si>
  <si>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</si>
  <si>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</si>
  <si>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</si>
  <si>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</si>
  <si>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</si>
  <si>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</si>
  <si>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</si>
  <si>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</si>
  <si>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</si>
  <si>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</si>
  <si>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</si>
  <si>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</si>
  <si>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</si>
  <si>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</si>
  <si>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</si>
  <si>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</si>
  <si>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</si>
  <si>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</si>
  <si>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</si>
  <si>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</si>
  <si>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</si>
  <si>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</si>
  <si>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</si>
  <si>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</si>
  <si>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</si>
  <si>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</si>
  <si>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</si>
  <si>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</si>
  <si>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</si>
  <si>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</si>
  <si>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</si>
  <si>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</si>
  <si>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</si>
  <si>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</si>
  <si>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</si>
  <si>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</si>
  <si>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</si>
  <si>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</si>
  <si>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</si>
  <si>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</si>
  <si>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</si>
  <si>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</si>
  <si>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</si>
  <si>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</si>
  <si>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</si>
  <si>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</si>
  <si>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</si>
  <si>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</si>
  <si>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</si>
  <si>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</si>
  <si>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</si>
  <si>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</si>
  <si>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</si>
  <si>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</si>
  <si>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</si>
  <si>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</si>
  <si>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</si>
  <si>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</si>
  <si>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</si>
  <si>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</si>
  <si>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</si>
  <si>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</si>
  <si>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</si>
  <si>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</si>
  <si>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</si>
  <si>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</si>
  <si>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</si>
  <si>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</si>
  <si>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</si>
  <si>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</si>
  <si>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</si>
  <si>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</si>
  <si>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</si>
  <si>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</si>
  <si>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</si>
  <si>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</si>
  <si>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</si>
  <si>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</si>
  <si>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</si>
  <si>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</si>
  <si>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</si>
  <si>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</si>
  <si>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</si>
  <si>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</si>
  <si>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</si>
  <si>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</si>
  <si>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</si>
  <si>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</si>
  <si>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</si>
  <si>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</si>
  <si>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</si>
  <si>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</si>
  <si>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</si>
  <si>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</si>
  <si>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</si>
  <si>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</si>
  <si>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</si>
  <si>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</si>
  <si>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</si>
  <si>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</si>
  <si>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</si>
  <si>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</si>
  <si>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</si>
  <si>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</si>
  <si>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</si>
  <si>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</si>
  <si>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</si>
  <si>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</si>
  <si>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</si>
  <si>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</si>
  <si>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</si>
  <si>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</si>
  <si>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</si>
  <si>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</si>
  <si>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</si>
  <si>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</si>
  <si>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</si>
  <si>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</si>
  <si>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</si>
  <si>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</si>
  <si>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</si>
  <si>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</si>
  <si>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</si>
  <si>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</si>
  <si>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</si>
  <si>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</si>
  <si>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</si>
  <si>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</si>
  <si>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</si>
  <si>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</si>
  <si>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</si>
  <si>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</si>
  <si>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</si>
  <si>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</si>
  <si>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</si>
  <si>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</si>
  <si>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</si>
  <si>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</si>
  <si>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</si>
  <si>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</si>
  <si>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</si>
  <si>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</si>
  <si>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</si>
  <si>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</si>
  <si>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</si>
  <si>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</si>
  <si>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</si>
  <si>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</si>
  <si>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</si>
  <si>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</si>
  <si>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</si>
  <si>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</si>
  <si>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</si>
  <si>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</si>
  <si>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</si>
  <si>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</si>
  <si>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</si>
  <si>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</si>
  <si>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</si>
  <si>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</si>
  <si>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</si>
  <si>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</si>
  <si>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</si>
  <si>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</si>
  <si>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</si>
  <si>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</si>
  <si>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</si>
  <si>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</si>
  <si>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</si>
  <si>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</si>
  <si>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</si>
  <si>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</si>
  <si>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</si>
  <si>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</si>
  <si>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</si>
  <si>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</si>
  <si>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</si>
  <si>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</si>
  <si>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</si>
  <si>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</si>
  <si>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</si>
  <si>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</si>
  <si>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</si>
  <si>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</si>
  <si>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</si>
  <si>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</si>
  <si>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</si>
  <si>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</si>
  <si>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</si>
  <si>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</si>
  <si>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</si>
  <si>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</si>
  <si>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</si>
  <si>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</si>
  <si>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</si>
  <si>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</si>
  <si>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</si>
  <si>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</si>
  <si>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</si>
  <si>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</si>
  <si>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</si>
  <si>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</si>
  <si>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</si>
  <si>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</si>
  <si>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</si>
  <si>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</si>
  <si>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</si>
  <si>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</si>
  <si>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</si>
  <si>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</si>
  <si>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</si>
  <si>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</si>
  <si>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</si>
  <si>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</si>
  <si>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</si>
  <si>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</si>
  <si>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</si>
  <si>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</si>
  <si>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</si>
  <si>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</si>
  <si>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</si>
  <si>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</si>
  <si>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</si>
  <si>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</si>
  <si>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</si>
  <si>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</si>
  <si>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</si>
  <si>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</si>
  <si>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</si>
  <si>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</si>
  <si>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</si>
  <si>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</si>
  <si>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</si>
  <si>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</si>
  <si>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</si>
  <si>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</si>
  <si>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</si>
  <si>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</si>
  <si>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</si>
  <si>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</si>
  <si>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</si>
  <si>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</si>
  <si>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</si>
  <si>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</si>
  <si>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</si>
  <si>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</si>
  <si>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</si>
  <si>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</si>
  <si>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</si>
  <si>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</si>
  <si>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</si>
  <si>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</si>
  <si>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</si>
  <si>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</si>
  <si>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</si>
  <si>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</si>
  <si>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</si>
  <si>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</si>
  <si>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</si>
  <si>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</si>
  <si>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</si>
  <si>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</si>
  <si>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</si>
  <si>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</si>
  <si>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</si>
  <si>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</si>
  <si>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</si>
  <si>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</si>
  <si>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</si>
  <si>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</si>
  <si>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</si>
  <si>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</si>
  <si>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</si>
  <si>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</si>
  <si>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</si>
  <si>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</si>
  <si>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</si>
  <si>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</si>
  <si>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</si>
  <si>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</si>
  <si>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</si>
  <si>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</si>
  <si>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</si>
  <si>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</si>
  <si>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</si>
  <si>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</si>
  <si>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</si>
  <si>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</si>
  <si>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</si>
  <si>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</si>
  <si>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</si>
  <si>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</si>
  <si>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</si>
  <si>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</si>
  <si>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</si>
  <si>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</si>
  <si>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</si>
  <si>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</si>
  <si>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</si>
  <si>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</si>
  <si>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</si>
  <si>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</si>
  <si>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</si>
  <si>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</si>
  <si>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</si>
  <si>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</si>
  <si>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</si>
  <si>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</si>
  <si>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</si>
  <si>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</si>
  <si>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</si>
  <si>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</si>
  <si>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</si>
  <si>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</si>
  <si>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</si>
  <si>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</si>
  <si>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</si>
  <si>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</si>
  <si>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</si>
  <si>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</si>
  <si>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</si>
  <si>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</si>
  <si>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</si>
  <si>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</si>
  <si>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</si>
  <si>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</si>
  <si>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</si>
  <si>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</si>
  <si>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</si>
  <si>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</si>
  <si>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</si>
  <si>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</si>
  <si>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</si>
  <si>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</si>
  <si>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</si>
  <si>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</si>
  <si>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</si>
  <si>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</si>
  <si>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</si>
  <si>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</si>
  <si>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</si>
  <si>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</si>
  <si>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</si>
  <si>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</si>
  <si>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</si>
  <si>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</si>
  <si>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</si>
  <si>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</si>
  <si>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</si>
  <si>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</si>
  <si>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</si>
  <si>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</si>
  <si>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</si>
  <si>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</si>
  <si>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</si>
  <si>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</si>
  <si>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</si>
  <si>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</si>
  <si>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</si>
  <si>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</si>
  <si>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</si>
  <si>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</si>
  <si>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</si>
  <si>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</si>
  <si>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</si>
  <si>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</si>
  <si>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</si>
  <si>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</si>
  <si>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</si>
  <si>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</si>
  <si>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</si>
  <si>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</si>
  <si>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</si>
  <si>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</si>
  <si>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</si>
  <si>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</si>
  <si>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</si>
  <si>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</si>
  <si>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</si>
  <si>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</si>
  <si>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</si>
  <si>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</si>
  <si>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</si>
  <si>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</si>
  <si>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</si>
  <si>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</si>
  <si>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</si>
  <si>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</si>
  <si>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</si>
  <si>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</si>
  <si>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</si>
  <si>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</si>
  <si>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</si>
  <si>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</si>
  <si>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</si>
  <si>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</si>
  <si>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</si>
  <si>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</si>
  <si>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</si>
  <si>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</si>
  <si>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</si>
  <si>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</si>
  <si>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</si>
  <si>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</si>
  <si>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</si>
  <si>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</si>
  <si>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</si>
  <si>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</si>
  <si>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</si>
  <si>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</si>
  <si>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</si>
  <si>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</si>
  <si>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</si>
  <si>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</si>
  <si>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</si>
  <si>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</si>
  <si>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</si>
  <si>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</si>
  <si>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</si>
  <si>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</si>
  <si>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</si>
  <si>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</si>
  <si>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</si>
  <si>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</si>
  <si>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</si>
  <si>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</si>
  <si>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</si>
  <si>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</si>
  <si>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</si>
  <si>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</si>
  <si>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</si>
  <si>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</si>
  <si>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</si>
  <si>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</si>
  <si>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</si>
  <si>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</si>
  <si>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</si>
  <si>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</si>
  <si>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</si>
  <si>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</si>
  <si>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</si>
  <si>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</si>
  <si>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</si>
  <si>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</si>
  <si>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</si>
  <si>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</si>
  <si>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</si>
  <si>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</si>
  <si>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</si>
  <si>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</si>
  <si>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</si>
  <si>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</si>
  <si>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</si>
  <si>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</si>
  <si>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</si>
  <si>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</si>
  <si>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</si>
  <si>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</si>
  <si>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</si>
  <si>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</si>
  <si>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</si>
  <si>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</si>
  <si>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</si>
  <si>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</si>
  <si>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</si>
  <si>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</si>
  <si>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</si>
  <si>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</si>
  <si>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</si>
  <si>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</si>
  <si>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</si>
  <si>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</si>
  <si>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</si>
  <si>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</si>
  <si>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</si>
  <si>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</si>
  <si>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</si>
  <si>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</si>
  <si>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</si>
  <si>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</si>
  <si>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</si>
  <si>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</si>
  <si>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</si>
  <si>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</si>
  <si>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</si>
  <si>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</si>
  <si>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</si>
  <si>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</si>
  <si>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</si>
  <si>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</si>
  <si>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</si>
  <si>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</si>
  <si>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</si>
  <si>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</si>
  <si>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</si>
  <si>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</si>
  <si>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</si>
  <si>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</si>
  <si>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</si>
  <si>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</si>
  <si>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</si>
  <si>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</si>
  <si>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</si>
  <si>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</si>
  <si>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</si>
  <si>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</si>
  <si>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</si>
  <si>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</si>
  <si>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</si>
  <si>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</si>
  <si>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</si>
  <si>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</si>
  <si>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</si>
  <si>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</si>
  <si>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</si>
  <si>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</si>
  <si>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</si>
  <si>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</si>
  <si>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</si>
  <si>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</si>
  <si>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</si>
  <si>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</si>
  <si>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</si>
  <si>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</si>
  <si>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</si>
  <si>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</si>
  <si>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</si>
  <si>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</si>
  <si>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</si>
  <si>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</si>
  <si>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</si>
  <si>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</si>
  <si>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</si>
  <si>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</si>
  <si>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</si>
  <si>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</si>
  <si>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</si>
  <si>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</si>
  <si>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</si>
  <si>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</si>
  <si>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</si>
  <si>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</si>
  <si>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</si>
  <si>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</si>
  <si>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</si>
  <si>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</si>
  <si>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</si>
  <si>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</si>
  <si>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</si>
  <si>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</si>
  <si>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</si>
  <si>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</si>
  <si>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</si>
  <si>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</si>
  <si>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</si>
  <si>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</si>
  <si>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</si>
  <si>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</si>
  <si>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</si>
  <si>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</si>
  <si>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</si>
  <si>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</si>
  <si>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</si>
  <si>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</si>
  <si>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</si>
  <si>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</si>
  <si>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</si>
  <si>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</si>
  <si>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</si>
  <si>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</si>
  <si>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</si>
  <si>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</si>
  <si>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</si>
  <si>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</si>
  <si>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</si>
  <si>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</si>
  <si>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</si>
  <si>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</si>
  <si>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</si>
  <si>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</si>
  <si>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</si>
  <si>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</si>
  <si>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</si>
  <si>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</si>
  <si>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</si>
  <si>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</si>
  <si>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</si>
  <si>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</si>
  <si>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</si>
  <si>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</si>
  <si>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</si>
  <si>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</si>
  <si>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</si>
  <si>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</si>
  <si>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</si>
  <si>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</si>
  <si>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</si>
  <si>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</si>
  <si>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</si>
  <si>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</si>
  <si>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</si>
  <si>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</si>
  <si>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</si>
  <si>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</si>
  <si>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</si>
  <si>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</si>
  <si>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</si>
  <si>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</si>
  <si>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</si>
  <si>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</si>
  <si>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</si>
  <si>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</si>
  <si>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</si>
  <si>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</si>
  <si>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</si>
  <si>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</si>
  <si>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</si>
  <si>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</si>
  <si>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</si>
  <si>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</si>
  <si>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</si>
  <si>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</si>
  <si>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</si>
  <si>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</si>
  <si>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</si>
  <si>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</si>
  <si>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</si>
  <si>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</si>
  <si>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</si>
  <si>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</si>
  <si>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</si>
  <si>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</si>
  <si>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</si>
  <si>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</si>
  <si>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</si>
  <si>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</si>
  <si>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</si>
  <si>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</si>
  <si>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</si>
  <si>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</si>
  <si>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</si>
  <si>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</si>
  <si>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</si>
  <si>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</si>
  <si>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</si>
  <si>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</si>
  <si>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</si>
  <si>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</si>
  <si>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</si>
  <si>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</si>
  <si>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</si>
  <si>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</si>
  <si>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</si>
  <si>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</si>
  <si>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</si>
  <si>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</si>
  <si>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</si>
  <si>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</si>
  <si>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</si>
  <si>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</si>
  <si>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</si>
  <si>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</si>
  <si>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</si>
  <si>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</si>
  <si>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</si>
  <si>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</si>
  <si>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</si>
  <si>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</si>
  <si>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</si>
  <si>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</si>
  <si>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</si>
  <si>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</si>
  <si>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</si>
  <si>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</si>
  <si>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</si>
  <si>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</si>
  <si>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</si>
  <si>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</si>
  <si>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</si>
  <si>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</si>
  <si>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</si>
  <si>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</si>
  <si>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</si>
  <si>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</si>
  <si>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</si>
  <si>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</si>
  <si>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</si>
  <si>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</si>
  <si>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</si>
  <si>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</si>
  <si>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</si>
  <si>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</si>
  <si>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</si>
  <si>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</si>
  <si>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</si>
  <si>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</si>
  <si>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</si>
  <si>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</si>
  <si>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</si>
  <si>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</si>
  <si>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</si>
  <si>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</si>
  <si>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</si>
  <si>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</si>
  <si>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</si>
  <si>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</si>
  <si>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</si>
  <si>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</si>
  <si>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</si>
  <si>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</si>
  <si>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</si>
  <si>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</si>
  <si>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</si>
  <si>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</si>
  <si>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</si>
  <si>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</si>
  <si>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</si>
  <si>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</si>
  <si>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</si>
  <si>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</si>
  <si>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</si>
  <si>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</si>
  <si>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</si>
  <si>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</si>
  <si>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</si>
  <si>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</si>
  <si>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</si>
  <si>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</si>
  <si>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</si>
  <si>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</si>
  <si>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</si>
  <si>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</si>
  <si>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</si>
  <si>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</si>
  <si>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</si>
  <si>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</si>
  <si>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</si>
  <si>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</si>
  <si>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</si>
  <si>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</si>
  <si>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</si>
  <si>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</si>
  <si>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</si>
  <si>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</si>
  <si>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</si>
  <si>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</si>
  <si>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</si>
  <si>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</si>
  <si>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</si>
  <si>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</si>
  <si>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</si>
  <si>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</si>
  <si>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</si>
  <si>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</si>
  <si>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</si>
  <si>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</si>
  <si>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</si>
  <si>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</si>
  <si>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</si>
  <si>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</si>
  <si>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</si>
  <si>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</si>
  <si>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</si>
  <si>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</si>
  <si>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</si>
  <si>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</si>
  <si>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</si>
  <si>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</si>
  <si>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</si>
  <si>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</si>
  <si>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</si>
  <si>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</si>
  <si>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</si>
  <si>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</si>
  <si>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</si>
  <si>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</si>
  <si>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</si>
  <si>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</si>
  <si>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</si>
  <si>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</si>
  <si>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</si>
  <si>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</si>
  <si>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</si>
  <si>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</si>
  <si>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</si>
  <si>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</si>
  <si>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</si>
  <si>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</si>
  <si>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</si>
  <si>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</si>
  <si>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</si>
  <si>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</si>
  <si>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</si>
  <si>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</si>
  <si>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</si>
  <si>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</si>
  <si>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</si>
  <si>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</si>
  <si>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</si>
  <si>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</si>
  <si>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</si>
  <si>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</si>
  <si>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</si>
  <si>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</si>
  <si>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</si>
  <si>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</si>
  <si>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</si>
  <si>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</si>
  <si>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</si>
  <si>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</si>
  <si>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</si>
  <si>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</si>
  <si>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</si>
  <si>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</si>
  <si>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</si>
  <si>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</si>
  <si>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</si>
  <si>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</si>
  <si>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</si>
  <si>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</si>
  <si>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</si>
  <si>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</si>
  <si>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</si>
  <si>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</si>
  <si>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</si>
  <si>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</si>
  <si>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</si>
  <si>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</si>
  <si>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</si>
  <si>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</si>
  <si>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</si>
  <si>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</si>
  <si>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</si>
  <si>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</si>
  <si>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</si>
  <si>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</si>
  <si>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</si>
  <si>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</si>
  <si>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</si>
  <si>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</si>
  <si>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</si>
  <si>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</si>
  <si>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</si>
  <si>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</si>
  <si>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</si>
  <si>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</si>
  <si>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</si>
  <si>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</si>
  <si>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</si>
  <si>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</si>
  <si>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</si>
  <si>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</si>
  <si>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</si>
  <si>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</si>
  <si>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</si>
  <si>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</si>
  <si>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</si>
  <si>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</si>
  <si>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</si>
  <si>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</si>
  <si>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</si>
  <si>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</si>
  <si>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</si>
  <si>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</si>
  <si>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</si>
  <si>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</si>
  <si>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</si>
  <si>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</si>
  <si>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</si>
  <si>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</si>
  <si>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</si>
  <si>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</si>
  <si>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</si>
  <si>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</si>
  <si>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</si>
  <si>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</si>
  <si>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</si>
  <si>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</si>
  <si>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</si>
  <si>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</si>
  <si>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</si>
  <si>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</si>
  <si>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</si>
  <si>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</si>
  <si>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</si>
  <si>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</si>
  <si>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</si>
  <si>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</si>
  <si>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</si>
  <si>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</si>
  <si>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</si>
  <si>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</si>
  <si>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</si>
  <si>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</si>
  <si>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</si>
  <si>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</si>
  <si>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</si>
  <si>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</si>
  <si>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</si>
  <si>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</si>
  <si>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</si>
  <si>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</si>
  <si>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</si>
  <si>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</si>
  <si>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</si>
  <si>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</si>
  <si>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</si>
  <si>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</si>
  <si>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</si>
  <si>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</si>
  <si>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</si>
  <si>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</si>
  <si>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</si>
  <si>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</si>
  <si>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</si>
  <si>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</si>
  <si>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</si>
  <si>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</si>
  <si>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</si>
  <si>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</si>
  <si>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</si>
  <si>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</si>
  <si>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</si>
  <si>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</si>
  <si>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</si>
  <si>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</si>
  <si>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</si>
  <si>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</si>
  <si>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</si>
  <si>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</si>
  <si>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</si>
  <si>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</si>
  <si>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</si>
  <si>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</si>
  <si>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</si>
  <si>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</si>
  <si>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</si>
  <si>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</si>
  <si>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</si>
  <si>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</si>
  <si>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</si>
  <si>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</si>
  <si>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</si>
  <si>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</si>
  <si>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</si>
  <si>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</si>
  <si>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</si>
  <si>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</si>
  <si>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</si>
  <si>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</si>
  <si>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</si>
  <si>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</si>
  <si>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</si>
  <si>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</si>
  <si>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</si>
  <si>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</si>
  <si>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</si>
  <si>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</si>
  <si>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</si>
  <si>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</si>
  <si>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</si>
  <si>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</si>
  <si>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</si>
  <si>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</si>
  <si>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</si>
  <si>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</si>
  <si>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</si>
  <si>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</si>
  <si>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</si>
  <si>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</si>
  <si>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</si>
  <si>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</si>
  <si>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</si>
  <si>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</si>
  <si>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</si>
  <si>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</si>
  <si>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</si>
  <si>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</si>
  <si>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</si>
  <si>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</si>
  <si>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</si>
  <si>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</si>
  <si>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</si>
  <si>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</si>
  <si>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</si>
  <si>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</si>
  <si>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</si>
  <si>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</si>
  <si>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</si>
  <si>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</si>
  <si>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</si>
  <si>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</si>
  <si>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</si>
  <si>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</si>
  <si>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</si>
  <si>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</si>
  <si>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</si>
  <si>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</si>
  <si>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</si>
  <si>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</si>
  <si>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</si>
  <si>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</si>
  <si>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</si>
  <si>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</si>
  <si>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</si>
  <si>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</si>
  <si>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</si>
  <si>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</si>
  <si>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</si>
  <si>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</si>
  <si>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</si>
  <si>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</si>
  <si>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</si>
  <si>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</si>
  <si>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</si>
  <si>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</si>
  <si>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</si>
  <si>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</si>
  <si>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</si>
  <si>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</si>
  <si>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</si>
  <si>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</si>
  <si>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</si>
  <si>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</si>
  <si>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</si>
  <si>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</si>
  <si>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</si>
  <si>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</si>
  <si>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</si>
  <si>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</si>
  <si>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</si>
  <si>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</si>
  <si>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</si>
  <si>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</si>
  <si>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</si>
  <si>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</si>
  <si>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</si>
  <si>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</si>
  <si>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</si>
  <si>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</si>
  <si>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</si>
  <si>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</si>
  <si>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</si>
  <si>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</si>
  <si>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</si>
  <si>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</si>
  <si>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</si>
  <si>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</si>
  <si>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</si>
  <si>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</si>
  <si>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</si>
  <si>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</si>
  <si>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</si>
  <si>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</si>
  <si>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</si>
  <si>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</si>
  <si>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</si>
  <si>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</si>
  <si>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</si>
  <si>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</si>
  <si>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</si>
  <si>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</si>
  <si>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</si>
  <si>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</si>
  <si>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</si>
  <si>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</si>
  <si>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</si>
  <si>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</si>
  <si>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</si>
  <si>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</si>
  <si>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</si>
  <si>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</si>
  <si>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</si>
  <si>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</si>
  <si>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</si>
  <si>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</si>
  <si>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</si>
  <si>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</si>
  <si>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</si>
  <si>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</si>
  <si>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</si>
  <si>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</si>
  <si>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</si>
  <si>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</si>
  <si>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</si>
  <si>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</si>
  <si>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</si>
  <si>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</si>
  <si>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</si>
  <si>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</si>
  <si>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</si>
  <si>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</si>
  <si>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</si>
  <si>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</si>
  <si>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</si>
  <si>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</si>
  <si>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</si>
  <si>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</si>
  <si>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</si>
  <si>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</si>
  <si>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</si>
  <si>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</si>
  <si>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</si>
  <si>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</si>
  <si>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</si>
  <si>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</si>
  <si>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</si>
  <si>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</si>
  <si>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</si>
  <si>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</si>
  <si>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</si>
  <si>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</si>
  <si>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</si>
  <si>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</si>
  <si>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</si>
  <si>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</si>
  <si>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</si>
  <si>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</si>
  <si>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</si>
  <si>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</si>
  <si>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</si>
  <si>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</si>
  <si>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</si>
  <si>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</si>
  <si>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</si>
  <si>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</si>
  <si>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</si>
  <si>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</si>
  <si>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</si>
  <si>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</si>
  <si>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</si>
  <si>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</si>
  <si>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</si>
  <si>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</si>
  <si>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</si>
  <si>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</si>
  <si>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</si>
  <si>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</si>
  <si>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</si>
  <si>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</si>
  <si>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</si>
  <si>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</si>
  <si>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</si>
  <si>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</si>
  <si>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</si>
  <si>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</si>
  <si>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</si>
  <si>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</si>
  <si>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</si>
  <si>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</si>
  <si>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</si>
  <si>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</si>
  <si>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</si>
  <si>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</si>
  <si>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</si>
  <si>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</si>
  <si>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</si>
  <si>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</si>
  <si>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</si>
  <si>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</si>
  <si>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</si>
  <si>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</si>
  <si>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</si>
  <si>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</si>
  <si>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</si>
  <si>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</si>
  <si>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</si>
  <si>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</si>
  <si>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</si>
  <si>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</si>
  <si>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</si>
  <si>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</si>
  <si>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</si>
  <si>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</si>
  <si>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</si>
  <si>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</si>
  <si>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</si>
  <si>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</si>
  <si>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</si>
  <si>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</si>
  <si>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</si>
  <si>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</si>
  <si>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</si>
  <si>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</si>
  <si>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</si>
  <si>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</si>
  <si>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</si>
  <si>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</si>
  <si>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</si>
  <si>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</si>
  <si>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</si>
  <si>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</si>
  <si>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</si>
  <si>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</si>
  <si>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</si>
  <si>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</si>
  <si>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</si>
  <si>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</si>
  <si>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</si>
  <si>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</si>
  <si>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</si>
  <si>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</si>
  <si>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</si>
  <si>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</si>
  <si>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</si>
  <si>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</si>
  <si>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</si>
  <si>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</si>
  <si>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</si>
  <si>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</si>
  <si>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</si>
  <si>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</si>
  <si>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</si>
  <si>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</si>
  <si>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</si>
  <si>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</si>
  <si>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</si>
  <si>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</si>
  <si>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</si>
  <si>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</si>
  <si>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</si>
  <si>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</si>
  <si>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</si>
  <si>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</si>
  <si>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</si>
  <si>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</si>
  <si>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</si>
  <si>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</si>
  <si>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</si>
  <si>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</si>
  <si>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</si>
  <si>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</si>
  <si>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</si>
  <si>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</si>
  <si>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</si>
  <si>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</si>
  <si>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</si>
  <si>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</si>
  <si>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</si>
  <si>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</si>
  <si>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</si>
  <si>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</si>
  <si>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</si>
  <si>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</si>
  <si>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</si>
  <si>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</si>
  <si>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</si>
  <si>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</si>
  <si>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</si>
  <si>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</si>
  <si>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</si>
  <si>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</si>
  <si>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</si>
  <si>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</si>
  <si>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</si>
  <si>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</si>
  <si>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</si>
  <si>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</si>
  <si>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</si>
  <si>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</si>
  <si>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</si>
  <si>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</si>
  <si>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</si>
  <si>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</si>
  <si>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</si>
  <si>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</si>
  <si>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</si>
  <si>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</si>
  <si>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</si>
  <si>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</si>
  <si>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</si>
  <si>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</si>
  <si>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</si>
  <si>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</si>
  <si>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</si>
  <si>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</si>
  <si>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</si>
  <si>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</si>
  <si>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</si>
  <si>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</si>
  <si>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</si>
  <si>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</si>
  <si>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</si>
  <si>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</si>
  <si>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</si>
  <si>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</si>
  <si>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</si>
  <si>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</si>
  <si>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</si>
  <si>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</si>
  <si>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</si>
  <si>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</si>
  <si>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</si>
  <si>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</si>
  <si>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</si>
  <si>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</si>
  <si>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</si>
  <si>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</si>
  <si>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</si>
  <si>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</si>
  <si>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</si>
  <si>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</si>
  <si>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</si>
  <si>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</si>
  <si>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</si>
  <si>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</si>
  <si>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</si>
  <si>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</si>
  <si>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</si>
  <si>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</si>
  <si>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</si>
  <si>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</si>
  <si>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</si>
  <si>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</si>
  <si>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</si>
  <si>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</si>
  <si>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</si>
  <si>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</si>
  <si>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</si>
  <si>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</si>
  <si>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</si>
  <si>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</si>
  <si>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</si>
  <si>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</si>
  <si>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</si>
  <si>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</si>
  <si>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</si>
  <si>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</si>
  <si>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</si>
  <si>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</si>
  <si>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</si>
  <si>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</si>
  <si>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</si>
  <si>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</si>
  <si>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</si>
  <si>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</si>
  <si>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</si>
  <si>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</si>
  <si>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</si>
  <si>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</si>
  <si>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</si>
  <si>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</si>
  <si>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</si>
  <si>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</si>
  <si>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</si>
  <si>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</si>
  <si>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</si>
  <si>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</si>
  <si>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</si>
  <si>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</si>
  <si>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</si>
  <si>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</si>
  <si>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</si>
  <si>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</si>
  <si>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</si>
  <si>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</si>
  <si>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</si>
  <si>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</si>
  <si>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</si>
  <si>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</si>
  <si>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</si>
  <si>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</si>
  <si>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</si>
  <si>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</si>
  <si>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</si>
  <si>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</si>
  <si>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</si>
  <si>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</si>
  <si>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</si>
  <si>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</si>
  <si>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</si>
  <si>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</si>
  <si>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</si>
  <si>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</si>
  <si>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</si>
  <si>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</si>
  <si>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</si>
  <si>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</si>
  <si>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</si>
  <si>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</si>
  <si>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</si>
  <si>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</si>
  <si>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</si>
  <si>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</si>
  <si>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</si>
  <si>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</si>
  <si>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</si>
  <si>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</si>
  <si>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</si>
  <si>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</si>
  <si>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</si>
  <si>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</si>
  <si>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</si>
  <si>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</si>
  <si>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</si>
  <si>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</si>
  <si>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</si>
  <si>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</si>
  <si>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</si>
  <si>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</si>
  <si>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</si>
  <si>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</si>
  <si>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</si>
  <si>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</si>
  <si>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</si>
  <si>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</si>
  <si>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</si>
  <si>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</si>
  <si>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</si>
  <si>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</si>
  <si>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</si>
  <si>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</si>
  <si>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</si>
  <si>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</si>
  <si>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</si>
  <si>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</si>
  <si>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</si>
  <si>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</si>
  <si>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</si>
  <si>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</si>
  <si>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</si>
  <si>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</si>
  <si>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</si>
  <si>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</si>
  <si>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</si>
  <si>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</si>
  <si>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</si>
  <si>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</si>
  <si>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</si>
  <si>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</si>
  <si>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</si>
  <si>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</si>
  <si>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</si>
  <si>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</si>
  <si>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</si>
  <si>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</si>
  <si>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</si>
  <si>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</si>
  <si>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</si>
  <si>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</si>
  <si>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</si>
  <si>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</si>
  <si>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</si>
  <si>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</si>
  <si>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</si>
  <si>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</si>
  <si>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</si>
  <si>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</si>
  <si>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</si>
  <si>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</si>
  <si>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</si>
  <si>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</si>
  <si>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</si>
  <si>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</si>
  <si>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</si>
  <si>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</si>
  <si>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</si>
  <si>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</si>
  <si>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</si>
  <si>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</si>
  <si>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</si>
  <si>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</si>
  <si>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</si>
  <si>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</si>
  <si>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</si>
  <si>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</si>
  <si>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</si>
  <si>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</si>
  <si>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</si>
  <si>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</si>
  <si>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</si>
  <si>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</si>
  <si>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</si>
  <si>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</si>
  <si>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</si>
  <si>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</si>
  <si>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</si>
  <si>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</si>
  <si>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</si>
  <si>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</si>
  <si>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</si>
  <si>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</si>
  <si>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</si>
  <si>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</si>
  <si>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</si>
  <si>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</si>
  <si>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</si>
  <si>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</si>
  <si>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</si>
  <si>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</si>
  <si>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</si>
  <si>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</si>
  <si>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</si>
  <si>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</si>
  <si>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</si>
  <si>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</si>
  <si>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</si>
  <si>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</si>
  <si>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</si>
  <si>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</si>
  <si>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</si>
  <si>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</si>
  <si>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</si>
  <si>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</si>
  <si>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</si>
  <si>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</si>
  <si>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</si>
  <si>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</si>
  <si>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</si>
  <si>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</si>
  <si>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</si>
  <si>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</si>
  <si>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</si>
  <si>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</si>
  <si>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</si>
  <si>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</si>
  <si>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</si>
  <si>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</si>
  <si>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</si>
  <si>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</si>
  <si>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</si>
  <si>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</si>
  <si>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</si>
  <si>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</si>
  <si>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</si>
  <si>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</si>
  <si>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</si>
  <si>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</si>
  <si>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</si>
  <si>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</si>
  <si>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</si>
  <si>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</si>
  <si>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</si>
  <si>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</si>
  <si>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</si>
  <si>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</si>
  <si>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</si>
  <si>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</si>
  <si>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</si>
  <si>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</si>
  <si>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</si>
  <si>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</si>
  <si>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</si>
  <si>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</si>
  <si>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</si>
  <si>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</si>
  <si>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</si>
  <si>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</si>
  <si>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</si>
  <si>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</si>
  <si>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</si>
  <si>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</si>
  <si>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</si>
  <si>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</si>
  <si>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</si>
  <si>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</si>
  <si>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</si>
  <si>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</si>
  <si>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</si>
  <si>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</si>
  <si>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</si>
  <si>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</si>
  <si>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</si>
  <si>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</si>
  <si>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</si>
  <si>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</si>
  <si>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</si>
  <si>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</si>
  <si>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</si>
  <si>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</si>
  <si>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</si>
  <si>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</si>
  <si>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</si>
  <si>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</si>
  <si>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</si>
  <si>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</si>
  <si>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</si>
  <si>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</si>
  <si>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</si>
  <si>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</si>
  <si>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</si>
  <si>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</si>
  <si>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</si>
  <si>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</si>
  <si>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</si>
  <si>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</si>
  <si>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</si>
  <si>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</si>
  <si>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</si>
  <si>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</si>
  <si>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</si>
  <si>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</si>
  <si>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</si>
  <si>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</si>
  <si>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</si>
  <si>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</si>
  <si>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</si>
  <si>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</si>
  <si>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</si>
  <si>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</si>
  <si>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</si>
  <si>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</si>
  <si>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</si>
  <si>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</si>
  <si>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</si>
  <si>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</si>
  <si>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</si>
  <si>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</si>
  <si>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</si>
  <si>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</si>
  <si>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</si>
  <si>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</si>
  <si>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</si>
  <si>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</si>
  <si>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</si>
  <si>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</si>
  <si>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</si>
  <si>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</si>
  <si>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</si>
  <si>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</si>
  <si>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</si>
  <si>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</si>
  <si>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</si>
  <si>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</si>
  <si>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</si>
  <si>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</si>
  <si>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</si>
  <si>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</si>
  <si>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</si>
  <si>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</si>
  <si>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</si>
  <si>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</si>
  <si>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</si>
  <si>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</si>
  <si>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</si>
  <si>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</si>
  <si>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</si>
  <si>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</si>
  <si>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</si>
  <si>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</si>
  <si>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</si>
  <si>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</si>
  <si>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</si>
  <si>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</si>
  <si>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</si>
  <si>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</si>
  <si>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</si>
  <si>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</si>
  <si>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</si>
  <si>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</si>
  <si>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</si>
  <si>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</si>
  <si>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</si>
  <si>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</si>
  <si>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</si>
  <si>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</si>
  <si>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</si>
  <si>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</si>
  <si>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</si>
  <si>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</si>
  <si>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</si>
  <si>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</si>
  <si>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</si>
  <si>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</si>
  <si>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</si>
  <si>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</si>
  <si>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</si>
  <si>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</si>
  <si>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</si>
  <si>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</si>
  <si>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</si>
  <si>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</si>
  <si>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</si>
  <si>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</si>
  <si>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</si>
  <si>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</si>
  <si>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</si>
  <si>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</si>
  <si>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</si>
  <si>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</si>
  <si>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</si>
  <si>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</si>
  <si>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</si>
  <si>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</si>
  <si>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</si>
  <si>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</si>
  <si>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</si>
  <si>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</si>
  <si>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</si>
  <si>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</si>
  <si>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</si>
  <si>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</si>
  <si>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</si>
  <si>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</si>
  <si>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</si>
  <si>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</si>
  <si>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</si>
  <si>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</si>
  <si>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</si>
  <si>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</si>
  <si>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</si>
  <si>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</si>
  <si>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</si>
  <si>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</si>
  <si>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</si>
  <si>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</si>
  <si>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</si>
  <si>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</si>
  <si>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</si>
  <si>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</si>
  <si>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</si>
  <si>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</si>
  <si>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</si>
  <si>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</si>
  <si>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</si>
  <si>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</si>
  <si>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</si>
  <si>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</si>
  <si>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</si>
  <si>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</si>
  <si>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</si>
  <si>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</si>
  <si>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</si>
  <si>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</si>
  <si>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</si>
  <si>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</si>
  <si>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</si>
  <si>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</si>
  <si>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</si>
  <si>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</si>
  <si>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</si>
  <si>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</si>
  <si>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</si>
  <si>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</si>
  <si>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</si>
  <si>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</si>
  <si>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</si>
  <si>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</si>
  <si>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</si>
  <si>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</si>
  <si>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</si>
  <si>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</si>
  <si>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</si>
  <si>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</si>
  <si>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</si>
  <si>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</si>
  <si>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</si>
  <si>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</si>
  <si>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</si>
  <si>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</si>
  <si>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</si>
  <si>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</si>
  <si>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</si>
  <si>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</si>
  <si>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</si>
  <si>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</si>
  <si>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</si>
  <si>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</si>
  <si>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</si>
  <si>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</si>
  <si>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</si>
  <si>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</si>
  <si>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</si>
  <si>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</si>
  <si>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</si>
  <si>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</si>
  <si>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</si>
  <si>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</si>
  <si>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</si>
  <si>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</si>
  <si>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</si>
  <si>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</si>
  <si>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</si>
  <si>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</si>
  <si>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</si>
  <si>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</si>
  <si>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</si>
  <si>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</si>
  <si>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</si>
  <si>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</si>
  <si>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</si>
  <si>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</si>
  <si>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</si>
  <si>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</si>
  <si>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</si>
  <si>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</si>
  <si>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</si>
  <si>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</si>
  <si>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</si>
  <si>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</si>
  <si>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</si>
  <si>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</si>
  <si>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</si>
  <si>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</si>
  <si>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</si>
  <si>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</si>
  <si>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</si>
  <si>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</si>
  <si>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</si>
  <si>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</si>
  <si>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</si>
  <si>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</si>
  <si>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</si>
  <si>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</si>
  <si>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</si>
  <si>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</si>
  <si>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</si>
  <si>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</si>
  <si>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</si>
  <si>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</si>
  <si>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</si>
  <si>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</si>
  <si>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</si>
  <si>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</si>
  <si>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</si>
  <si>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</si>
  <si>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</si>
  <si>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</si>
  <si>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</si>
  <si>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</si>
  <si>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</si>
  <si>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</si>
  <si>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</si>
  <si>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</si>
  <si>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</si>
  <si>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</si>
  <si>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</si>
  <si>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</si>
  <si>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</si>
  <si>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</si>
  <si>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</si>
  <si>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</si>
  <si>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</si>
  <si>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</si>
  <si>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</si>
  <si>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</si>
  <si>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</si>
  <si>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</si>
  <si>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</si>
  <si>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</si>
  <si>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</si>
  <si>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</si>
  <si>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</si>
  <si>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</si>
  <si>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</si>
  <si>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</si>
  <si>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</si>
  <si>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</si>
  <si>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</si>
  <si>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</si>
  <si>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</si>
  <si>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</si>
  <si>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</si>
  <si>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</si>
  <si>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</si>
  <si>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</si>
  <si>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</si>
  <si>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</si>
  <si>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</si>
  <si>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</si>
  <si>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</si>
  <si>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</si>
  <si>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</si>
  <si>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</si>
  <si>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</si>
  <si>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</si>
  <si>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</si>
  <si>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</si>
  <si>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</si>
  <si>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</si>
  <si>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</si>
  <si>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</si>
  <si>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</si>
  <si>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</si>
  <si>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</si>
  <si>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</si>
  <si>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</si>
  <si>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</si>
  <si>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</si>
  <si>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</si>
  <si>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</si>
  <si>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</si>
  <si>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</si>
  <si>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</si>
  <si>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</si>
  <si>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</si>
  <si>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</si>
  <si>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</si>
  <si>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</si>
  <si>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</si>
  <si>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</si>
  <si>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</si>
  <si>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</si>
  <si>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</si>
  <si>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</si>
  <si>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</si>
  <si>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</si>
  <si>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</si>
  <si>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</si>
  <si>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</si>
  <si>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</si>
  <si>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</si>
  <si>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</si>
  <si>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</si>
  <si>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</si>
  <si>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</si>
  <si>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</si>
  <si>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</si>
  <si>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</si>
  <si>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</si>
  <si>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</si>
  <si>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</si>
  <si>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</si>
  <si>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</si>
  <si>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</si>
  <si>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</si>
  <si>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</si>
  <si>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</si>
  <si>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</si>
  <si>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</si>
  <si>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</si>
  <si>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</si>
  <si>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</si>
  <si>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</si>
  <si>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</si>
  <si>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</si>
  <si>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</si>
  <si>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</si>
  <si>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</si>
  <si>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</si>
  <si>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</si>
  <si>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</si>
  <si>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</si>
  <si>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</si>
  <si>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</si>
  <si>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</si>
  <si>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</si>
  <si>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</si>
  <si>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</si>
  <si>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</si>
  <si>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</si>
  <si>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</si>
  <si>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</si>
  <si>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</si>
  <si>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</si>
  <si>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</si>
  <si>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</si>
  <si>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</si>
  <si>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</si>
  <si>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</si>
  <si>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</si>
  <si>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</si>
  <si>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</si>
  <si>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</si>
  <si>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</si>
  <si>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</si>
  <si>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</si>
  <si>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</si>
  <si>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</si>
  <si>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</si>
  <si>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</si>
  <si>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</si>
  <si>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</si>
  <si>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</si>
  <si>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</si>
  <si>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</si>
  <si>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</si>
  <si>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</si>
  <si>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</si>
  <si>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</si>
  <si>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</si>
  <si>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</si>
  <si>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</si>
  <si>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</si>
  <si>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</si>
  <si>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</si>
  <si>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</si>
  <si>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</si>
  <si>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</si>
  <si>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</si>
  <si>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</si>
  <si>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</si>
  <si>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</si>
  <si>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</si>
  <si>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</si>
  <si>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</si>
  <si>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</si>
  <si>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</si>
  <si>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</si>
  <si>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</si>
  <si>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</si>
  <si>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</si>
  <si>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</si>
  <si>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</si>
  <si>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</si>
  <si>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</si>
  <si>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</si>
  <si>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</si>
  <si>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</si>
  <si>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</si>
  <si>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</si>
  <si>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</si>
  <si>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</si>
  <si>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</si>
  <si>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</si>
  <si>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</si>
  <si>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</si>
  <si>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</si>
  <si>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</si>
  <si>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</si>
  <si>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</si>
  <si>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</si>
  <si>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</si>
  <si>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</si>
  <si>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</si>
  <si>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</si>
  <si>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</si>
  <si>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</si>
  <si>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</si>
  <si>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</si>
  <si>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</si>
  <si>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</si>
  <si>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</si>
  <si>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</si>
  <si>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</si>
  <si>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</si>
  <si>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</si>
  <si>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</si>
  <si>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</si>
  <si>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</si>
  <si>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</si>
  <si>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</si>
  <si>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</si>
  <si>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</si>
  <si>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</si>
  <si>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</si>
  <si>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</si>
  <si>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</si>
  <si>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</si>
  <si>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</si>
  <si>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</si>
  <si>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</si>
  <si>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</si>
  <si>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</si>
  <si>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</si>
  <si>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</si>
  <si>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</si>
  <si>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</si>
  <si>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</si>
  <si>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</si>
  <si>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</si>
  <si>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</si>
  <si>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</si>
  <si>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</si>
  <si>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</si>
  <si>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</si>
  <si>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</si>
  <si>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</si>
  <si>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</si>
  <si>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</si>
  <si>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</si>
  <si>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</si>
  <si>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</si>
  <si>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</si>
  <si>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</si>
  <si>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</si>
  <si>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</si>
  <si>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</si>
  <si>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</si>
  <si>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</si>
  <si>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</si>
  <si>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</si>
  <si>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</si>
  <si>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</si>
  <si>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</si>
  <si>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</si>
  <si>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</si>
  <si>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</si>
  <si>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</si>
  <si>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</si>
  <si>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</si>
  <si>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</si>
  <si>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</si>
  <si>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</si>
  <si>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</si>
  <si>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</si>
  <si>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</si>
  <si>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</si>
  <si>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</si>
  <si>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</si>
  <si>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</si>
  <si>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</si>
  <si>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</si>
  <si>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</si>
  <si>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</si>
  <si>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</si>
  <si>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</si>
  <si>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</si>
  <si>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</si>
  <si>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</si>
  <si>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</si>
  <si>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</si>
  <si>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</si>
  <si>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</si>
  <si>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</si>
  <si>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</si>
  <si>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</si>
  <si>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</si>
  <si>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</si>
  <si>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</si>
  <si>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</si>
  <si>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</si>
  <si>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</si>
  <si>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</si>
  <si>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</si>
  <si>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</si>
  <si>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</si>
  <si>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</si>
  <si>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</si>
  <si>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</si>
  <si>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</si>
  <si>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</si>
  <si>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</si>
  <si>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</si>
  <si>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</si>
  <si>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</si>
  <si>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</si>
  <si>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</si>
  <si>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</si>
  <si>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</si>
  <si>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</si>
  <si>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</si>
  <si>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</si>
  <si>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</si>
  <si>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</si>
  <si>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</si>
  <si>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</si>
  <si>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</si>
  <si>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</si>
  <si>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</si>
  <si>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</si>
  <si>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</si>
  <si>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</si>
  <si>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</si>
  <si>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</si>
  <si>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</si>
  <si>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</si>
  <si>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</si>
  <si>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</si>
  <si>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</si>
  <si>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</si>
  <si>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</si>
  <si>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</si>
  <si>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</si>
  <si>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</si>
  <si>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</si>
  <si>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</si>
  <si>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</si>
  <si>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</si>
  <si>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</si>
  <si>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</si>
  <si>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</si>
  <si>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</si>
  <si>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</si>
  <si>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</si>
  <si>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</si>
  <si>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</si>
  <si>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</si>
  <si>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</si>
  <si>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</si>
  <si>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</si>
  <si>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</si>
  <si>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</si>
  <si>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</si>
  <si>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</si>
  <si>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</si>
  <si>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</si>
  <si>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</si>
  <si>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</si>
  <si>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</si>
  <si>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</si>
  <si>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</si>
  <si>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</si>
  <si>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</si>
  <si>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</si>
  <si>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</si>
  <si>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</si>
  <si>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</si>
  <si>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</si>
  <si>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</si>
  <si>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</si>
  <si>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</si>
  <si>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</si>
  <si>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</si>
  <si>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</si>
  <si>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</si>
  <si>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</si>
  <si>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</si>
  <si>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</si>
  <si>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</si>
  <si>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</si>
  <si>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</si>
  <si>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</si>
  <si>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</si>
  <si>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</si>
  <si>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</si>
  <si>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</si>
  <si>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</si>
  <si>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</si>
  <si>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</si>
  <si>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</si>
  <si>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</si>
  <si>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</si>
  <si>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</si>
  <si>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</si>
  <si>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</si>
  <si>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</si>
  <si>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</si>
  <si>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</si>
  <si>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</si>
  <si>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</si>
  <si>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</si>
  <si>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</si>
  <si>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</si>
  <si>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</si>
  <si>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</si>
  <si>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</si>
  <si>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</si>
  <si>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</si>
  <si>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</si>
  <si>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</si>
  <si>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</si>
  <si>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</si>
  <si>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</si>
  <si>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</si>
  <si>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</si>
  <si>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</si>
  <si>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</si>
  <si>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</si>
  <si>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</si>
  <si>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</si>
  <si>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</si>
  <si>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</si>
  <si>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</si>
  <si>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</si>
  <si>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</si>
  <si>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</si>
  <si>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</si>
  <si>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</si>
  <si>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</si>
  <si>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</si>
  <si>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</si>
  <si>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</si>
  <si>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</si>
  <si>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</si>
  <si>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</si>
  <si>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</si>
  <si>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</si>
  <si>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</si>
  <si>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</si>
  <si>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</si>
  <si>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</si>
  <si>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</si>
  <si>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</si>
  <si>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</si>
  <si>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</si>
  <si>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</si>
  <si>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</si>
  <si>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</si>
  <si>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</si>
  <si>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</si>
  <si>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</si>
  <si>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</si>
  <si>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</si>
  <si>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</si>
  <si>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</si>
  <si>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</si>
  <si>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</si>
  <si>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</si>
  <si>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</si>
  <si>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</si>
  <si>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</si>
  <si>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</si>
  <si>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</si>
  <si>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</si>
  <si>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</si>
  <si>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</si>
  <si>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</si>
  <si>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</si>
  <si>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</si>
  <si>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</si>
  <si>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</si>
  <si>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</si>
  <si>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</si>
  <si>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</si>
  <si>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</si>
  <si>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</si>
  <si>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</si>
  <si>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</si>
  <si>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</si>
  <si>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</si>
  <si>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</si>
  <si>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</si>
  <si>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</si>
  <si>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</si>
  <si>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</si>
  <si>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</si>
  <si>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</si>
  <si>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</si>
  <si>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</si>
  <si>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</si>
  <si>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</si>
  <si>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</si>
  <si>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</si>
  <si>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</si>
  <si>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</si>
  <si>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</si>
  <si>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</si>
  <si>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</si>
  <si>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</si>
  <si>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</si>
  <si>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</si>
  <si>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</si>
  <si>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</si>
  <si>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</si>
  <si>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</si>
  <si>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</si>
  <si>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</si>
  <si>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</si>
  <si>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</si>
  <si>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</si>
  <si>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</si>
  <si>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</si>
  <si>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</si>
  <si>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</si>
  <si>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</si>
  <si>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</si>
  <si>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</si>
  <si>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</si>
  <si>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</si>
  <si>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</si>
  <si>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</si>
  <si>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</si>
  <si>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</si>
  <si>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</si>
  <si>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</si>
  <si>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</si>
  <si>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</si>
  <si>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</si>
  <si>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</si>
  <si>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</si>
  <si>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</si>
  <si>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</si>
  <si>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</si>
  <si>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</si>
  <si>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</si>
  <si>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</si>
  <si>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</si>
  <si>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</si>
  <si>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</si>
  <si>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</si>
  <si>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</si>
  <si>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</si>
  <si>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</si>
  <si>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</si>
  <si>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</si>
  <si>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</si>
  <si>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</si>
  <si>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</si>
  <si>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</si>
  <si>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</si>
  <si>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</si>
  <si>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</si>
  <si>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</si>
  <si>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</si>
  <si>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</si>
  <si>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</si>
  <si>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</si>
  <si>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</si>
  <si>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</si>
  <si>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</si>
  <si>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</si>
  <si>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</si>
  <si>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</si>
  <si>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</si>
  <si>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</si>
  <si>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</si>
  <si>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</si>
  <si>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</si>
  <si>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</si>
  <si>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</si>
  <si>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</si>
  <si>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</si>
  <si>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</si>
  <si>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</si>
  <si>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</si>
  <si>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</si>
  <si>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</si>
  <si>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</si>
  <si>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</si>
  <si>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</si>
  <si>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</si>
  <si>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</si>
  <si>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</si>
  <si>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</si>
  <si>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</si>
  <si>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</si>
  <si>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</si>
  <si>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</si>
  <si>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</si>
  <si>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</si>
  <si>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</si>
  <si>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</si>
  <si>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</si>
  <si>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</si>
  <si>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</si>
  <si>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</si>
  <si>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</si>
  <si>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</si>
  <si>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</si>
  <si>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</si>
  <si>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</si>
  <si>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</si>
  <si>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</si>
  <si>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</si>
  <si>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</si>
  <si>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</si>
  <si>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</si>
  <si>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</si>
  <si>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</si>
  <si>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</si>
  <si>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</si>
  <si>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</si>
  <si>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</si>
  <si>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</si>
  <si>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</si>
  <si>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</si>
  <si>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</si>
  <si>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</si>
  <si>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</si>
  <si>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</si>
  <si>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</si>
  <si>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</si>
  <si>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</si>
  <si>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</si>
  <si>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</si>
  <si>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</si>
  <si>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</si>
  <si>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</si>
  <si>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</si>
  <si>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</si>
  <si>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</si>
  <si>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</si>
  <si>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</si>
  <si>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</si>
  <si>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</si>
  <si>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</si>
  <si>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</si>
  <si>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</si>
  <si>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</si>
  <si>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</si>
  <si>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</si>
  <si>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</si>
  <si>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</si>
  <si>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</si>
  <si>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</si>
  <si>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</si>
  <si>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</si>
  <si>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</si>
  <si>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</si>
  <si>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</si>
  <si>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</si>
  <si>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</si>
  <si>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</si>
  <si>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</si>
  <si>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</si>
  <si>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</si>
  <si>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</si>
  <si>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</si>
  <si>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</si>
  <si>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</si>
  <si>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</si>
  <si>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</si>
  <si>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</si>
  <si>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</si>
  <si>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</si>
  <si>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</si>
  <si>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</si>
  <si>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</si>
  <si>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</si>
  <si>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</si>
  <si>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</si>
  <si>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</si>
  <si>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</si>
  <si>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</si>
  <si>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</si>
  <si>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</si>
  <si>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</si>
  <si>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</si>
  <si>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</si>
  <si>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</si>
  <si>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</si>
  <si>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</si>
  <si>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</si>
  <si>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</si>
  <si>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</si>
  <si>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</si>
  <si>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</si>
  <si>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</si>
  <si>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</si>
  <si>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</si>
  <si>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</si>
  <si>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</si>
  <si>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</si>
  <si>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</si>
  <si>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</si>
  <si>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</si>
  <si>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</si>
  <si>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</si>
  <si>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</si>
  <si>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</si>
  <si>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</si>
  <si>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</si>
  <si>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</si>
  <si>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</si>
  <si>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</si>
  <si>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</si>
  <si>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</si>
  <si>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</si>
  <si>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</si>
  <si>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</si>
  <si>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</si>
  <si>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</si>
  <si>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</si>
  <si>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</si>
  <si>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</si>
  <si>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</si>
  <si>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</si>
  <si>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</si>
  <si>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</si>
  <si>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</si>
  <si>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</si>
  <si>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</si>
  <si>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</si>
  <si>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</si>
  <si>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</si>
  <si>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</si>
  <si>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</si>
  <si>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</si>
  <si>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</si>
  <si>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</si>
  <si>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</si>
  <si>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</si>
  <si>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</si>
  <si>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</si>
  <si>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</si>
  <si>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</si>
  <si>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</si>
  <si>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</si>
  <si>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</si>
  <si>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</si>
  <si>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</si>
  <si>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</si>
  <si>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</si>
  <si>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</si>
  <si>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</si>
  <si>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</si>
  <si>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</si>
  <si>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</si>
  <si>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</si>
  <si>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</si>
  <si>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</si>
  <si>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</si>
  <si>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</si>
  <si>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</si>
  <si>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</si>
  <si>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</si>
  <si>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</si>
  <si>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</si>
  <si>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</si>
  <si>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</si>
  <si>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</si>
  <si>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</si>
  <si>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</si>
  <si>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</si>
  <si>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</si>
  <si>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</si>
  <si>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</si>
  <si>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</si>
  <si>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</si>
  <si>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</si>
  <si>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</si>
  <si>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</si>
  <si>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</si>
  <si>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</si>
  <si>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</si>
  <si>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</si>
  <si>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</si>
  <si>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</si>
  <si>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</si>
  <si>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</si>
  <si>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</si>
  <si>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</si>
  <si>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</si>
  <si>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</si>
  <si>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</si>
  <si>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</si>
  <si>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</si>
  <si>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</si>
  <si>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</si>
  <si>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</si>
  <si>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</si>
  <si>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</si>
  <si>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</si>
  <si>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</si>
  <si>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</si>
  <si>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</si>
  <si>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</si>
  <si>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</si>
  <si>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</si>
  <si>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</si>
  <si>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</si>
  <si>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</si>
  <si>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</si>
  <si>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</si>
  <si>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</si>
  <si>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</si>
  <si>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</si>
  <si>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</si>
  <si>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</si>
  <si>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</si>
  <si>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</si>
  <si>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</si>
  <si>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</si>
  <si>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</si>
  <si>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</si>
  <si>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</si>
  <si>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</si>
  <si>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</si>
  <si>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</si>
  <si>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</si>
  <si>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</si>
  <si>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</si>
  <si>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</si>
  <si>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</si>
  <si>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</si>
  <si>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</si>
  <si>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</si>
  <si>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</si>
  <si>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</si>
  <si>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</si>
  <si>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</si>
  <si>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</si>
  <si>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</si>
  <si>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</si>
  <si>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</si>
  <si>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</si>
  <si>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</si>
  <si>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</si>
  <si>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</si>
  <si>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</si>
  <si>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</si>
  <si>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</si>
  <si>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</si>
  <si>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</si>
  <si>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</si>
  <si>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</si>
  <si>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</si>
  <si>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</si>
  <si>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</si>
  <si>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</si>
  <si>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</si>
  <si>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</si>
  <si>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</si>
  <si>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</si>
  <si>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</si>
  <si>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</si>
  <si>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</si>
  <si>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</si>
  <si>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</si>
  <si>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</si>
  <si>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</si>
  <si>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</si>
  <si>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</si>
  <si>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</si>
  <si>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</si>
  <si>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</si>
  <si>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</si>
  <si>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</si>
  <si>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</si>
  <si>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</si>
  <si>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</si>
  <si>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</si>
  <si>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</si>
  <si>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</si>
  <si>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</si>
  <si>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</si>
  <si>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</si>
  <si>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</si>
  <si>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</si>
  <si>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</si>
  <si>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</si>
  <si>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</si>
  <si>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</si>
  <si>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</si>
  <si>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</si>
  <si>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</si>
  <si>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</si>
  <si>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</si>
  <si>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</si>
  <si>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</si>
  <si>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</si>
  <si>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</si>
  <si>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</si>
  <si>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</si>
  <si>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</si>
  <si>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</si>
  <si>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</si>
  <si>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</si>
  <si>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</si>
  <si>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</si>
  <si>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</si>
  <si>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</si>
  <si>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</si>
  <si>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</si>
  <si>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</si>
  <si>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</si>
  <si>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</si>
  <si>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</si>
  <si>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</si>
  <si>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</si>
  <si>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</si>
  <si>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</si>
  <si>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</si>
  <si>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</si>
  <si>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</si>
  <si>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</si>
  <si>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</si>
  <si>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</si>
  <si>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</si>
  <si>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</si>
  <si>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</si>
  <si>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</si>
  <si>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</si>
  <si>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</si>
  <si>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</si>
  <si>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</si>
  <si>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</si>
  <si>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</si>
  <si>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</si>
  <si>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</si>
  <si>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</si>
  <si>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</si>
  <si>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</si>
  <si>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</si>
  <si>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</si>
  <si>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</si>
  <si>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</si>
  <si>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</si>
  <si>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</si>
  <si>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</si>
  <si>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</si>
  <si>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</si>
  <si>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</si>
  <si>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</si>
  <si>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</si>
  <si>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</si>
  <si>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</si>
  <si>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</si>
  <si>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</si>
  <si>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</si>
  <si>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</si>
  <si>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</si>
  <si>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</si>
  <si>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</si>
  <si>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</si>
  <si>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</si>
  <si>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</si>
  <si>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</si>
  <si>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</si>
  <si>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</si>
  <si>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</si>
  <si>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</si>
  <si>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</si>
  <si>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</si>
  <si>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</si>
  <si>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</si>
  <si>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</si>
  <si>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</si>
  <si>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</si>
  <si>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</si>
  <si>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</si>
  <si>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</si>
  <si>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</si>
  <si>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</si>
  <si>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</si>
  <si>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</si>
  <si>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</si>
  <si>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</si>
  <si>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</si>
  <si>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</si>
  <si>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</si>
  <si>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</si>
  <si>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</si>
  <si>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</si>
  <si>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</si>
  <si>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</si>
  <si>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</si>
  <si>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</si>
  <si>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</si>
  <si>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</si>
  <si>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</si>
  <si>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</si>
  <si>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</si>
  <si>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</si>
  <si>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</si>
  <si>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</si>
  <si>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</si>
  <si>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</si>
  <si>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</si>
  <si>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</si>
  <si>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</si>
  <si>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</si>
  <si>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</si>
  <si>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</si>
  <si>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</si>
  <si>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</si>
  <si>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</si>
  <si>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</si>
  <si>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</si>
  <si>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</si>
  <si>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</si>
  <si>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</si>
  <si>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</si>
  <si>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</si>
  <si>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</si>
  <si>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</si>
  <si>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</si>
  <si>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</si>
  <si>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</si>
  <si>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</si>
  <si>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</si>
  <si>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</si>
  <si>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</si>
  <si>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</si>
  <si>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</si>
  <si>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</si>
  <si>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</si>
  <si>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</si>
  <si>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</si>
  <si>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</si>
  <si>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</si>
  <si>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</si>
  <si>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</si>
  <si>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</si>
  <si>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</si>
  <si>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</si>
  <si>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</si>
  <si>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</si>
  <si>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</si>
  <si>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</si>
  <si>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</si>
  <si>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</si>
  <si>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</si>
  <si>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</si>
  <si>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</si>
  <si>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</si>
  <si>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</si>
  <si>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</si>
  <si>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</si>
  <si>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</si>
  <si>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</si>
  <si>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</si>
  <si>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</si>
  <si>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</si>
  <si>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</si>
  <si>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</si>
  <si>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</si>
  <si>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</si>
  <si>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</si>
  <si>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</si>
  <si>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</si>
  <si>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</si>
  <si>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</si>
  <si>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</si>
  <si>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</si>
  <si>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</si>
  <si>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</si>
  <si>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</si>
  <si>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</si>
  <si>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</si>
  <si>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</si>
  <si>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</si>
  <si>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</si>
  <si>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</si>
  <si>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</si>
  <si>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</si>
  <si>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</si>
  <si>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</si>
  <si>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</si>
  <si>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</si>
  <si>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</si>
  <si>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</si>
  <si>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</si>
  <si>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</si>
  <si>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</si>
  <si>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</si>
  <si>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</si>
  <si>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</si>
  <si>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</si>
  <si>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</si>
  <si>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</si>
  <si>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</si>
  <si>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</si>
  <si>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</si>
  <si>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</si>
  <si>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</si>
  <si>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</si>
  <si>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</si>
  <si>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</si>
  <si>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</si>
  <si>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</si>
  <si>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</si>
  <si>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</si>
  <si>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</si>
  <si>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</si>
  <si>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</si>
  <si>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</si>
  <si>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</si>
  <si>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</si>
  <si>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</si>
  <si>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</si>
  <si>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</si>
  <si>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</si>
  <si>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</si>
  <si>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</si>
  <si>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</si>
  <si>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</si>
  <si>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</si>
  <si>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</si>
  <si>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</si>
  <si>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</si>
  <si>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</si>
  <si>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</si>
  <si>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</si>
  <si>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</si>
  <si>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</si>
  <si>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</si>
  <si>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</si>
  <si>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</si>
  <si>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</si>
  <si>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</si>
  <si>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</si>
  <si>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</si>
  <si>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</si>
  <si>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</si>
  <si>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</si>
  <si>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</si>
  <si>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</si>
  <si>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</si>
  <si>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</si>
  <si>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</si>
  <si>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</si>
  <si>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</si>
  <si>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</si>
  <si>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</si>
  <si>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</si>
  <si>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</si>
  <si>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</si>
  <si>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</si>
  <si>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</si>
  <si>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</si>
  <si>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</si>
  <si>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</si>
  <si>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</si>
  <si>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</si>
  <si>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</si>
  <si>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</si>
  <si>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</si>
  <si>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</si>
  <si>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</si>
  <si>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</si>
  <si>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</si>
  <si>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</si>
  <si>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</si>
  <si>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</si>
  <si>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</si>
  <si>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</si>
  <si>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</si>
  <si>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</si>
  <si>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</si>
  <si>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</si>
  <si>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</si>
  <si>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</si>
  <si>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</si>
  <si>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</si>
  <si>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</si>
  <si>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</si>
  <si>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</si>
  <si>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</si>
  <si>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</si>
  <si>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</si>
  <si>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</si>
  <si>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</si>
  <si>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</si>
  <si>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</si>
  <si>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</si>
  <si>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</si>
  <si>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</si>
  <si>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</si>
  <si>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</si>
  <si>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</si>
  <si>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</si>
  <si>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</si>
  <si>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</si>
  <si>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</si>
  <si>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</si>
  <si>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</si>
  <si>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</si>
  <si>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</si>
  <si>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</si>
  <si>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</si>
  <si>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</si>
  <si>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</si>
  <si>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</si>
  <si>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</si>
  <si>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</si>
  <si>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</si>
  <si>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</si>
  <si>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</si>
  <si>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</si>
  <si>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</si>
  <si>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</si>
  <si>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</si>
  <si>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</si>
  <si>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</si>
  <si>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</si>
  <si>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</si>
  <si>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</si>
  <si>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</si>
  <si>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</si>
  <si>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</si>
  <si>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</si>
  <si>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</si>
  <si>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</si>
  <si>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</si>
  <si>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</si>
  <si>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</si>
  <si>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</si>
  <si>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</si>
  <si>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</si>
  <si>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</si>
  <si>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</si>
  <si>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</si>
  <si>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</si>
  <si>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</si>
  <si>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</si>
  <si>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</si>
  <si>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</si>
  <si>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</si>
  <si>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</si>
  <si>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</si>
  <si>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</si>
  <si>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</si>
  <si>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</si>
  <si>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</si>
  <si>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</si>
  <si>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</si>
  <si>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</si>
  <si>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</si>
  <si>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</si>
  <si>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</si>
  <si>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</si>
  <si>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</si>
  <si>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</si>
  <si>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</si>
  <si>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</si>
  <si>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</si>
  <si>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</si>
  <si>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</si>
  <si>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</si>
  <si>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</si>
  <si>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</si>
  <si>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</si>
  <si>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</si>
  <si>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</si>
  <si>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</si>
  <si>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</si>
  <si>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</si>
  <si>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</si>
  <si>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</si>
  <si>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</si>
  <si>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</si>
  <si>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</si>
  <si>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</si>
  <si>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</si>
  <si>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</si>
  <si>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</si>
  <si>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</si>
  <si>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</si>
  <si>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</si>
  <si>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</si>
  <si>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</si>
  <si>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</si>
  <si>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</si>
  <si>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</si>
  <si>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</si>
  <si>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</si>
  <si>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</si>
  <si>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</si>
  <si>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</si>
  <si>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</si>
  <si>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</si>
  <si>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</si>
  <si>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</si>
  <si>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</si>
  <si>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</si>
  <si>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</si>
  <si>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</si>
  <si>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</si>
  <si>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</si>
  <si>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</si>
  <si>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</si>
  <si>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</si>
  <si>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</si>
  <si>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</si>
  <si>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</si>
  <si>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</si>
  <si>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</si>
  <si>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</si>
  <si>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</si>
  <si>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</si>
  <si>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</si>
  <si>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</si>
  <si>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</si>
  <si>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</si>
  <si>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</si>
  <si>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</si>
  <si>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</si>
  <si>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</si>
  <si>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</si>
  <si>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</si>
  <si>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</si>
  <si>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</si>
  <si>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</si>
  <si>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</si>
  <si>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</si>
  <si>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</si>
  <si>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</si>
  <si>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</si>
  <si>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</si>
  <si>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</si>
  <si>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</si>
  <si>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</si>
  <si>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</si>
  <si>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</si>
  <si>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</si>
  <si>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</si>
  <si>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</si>
  <si>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</si>
  <si>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</si>
  <si>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</si>
  <si>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</si>
  <si>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</si>
  <si>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</si>
  <si>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</si>
  <si>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</si>
  <si>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</si>
  <si>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</si>
  <si>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</si>
  <si>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</si>
  <si>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</si>
  <si>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</si>
  <si>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</si>
  <si>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</si>
  <si>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</si>
  <si>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</si>
  <si>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</si>
  <si>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</si>
  <si>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</si>
  <si>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</si>
  <si>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</si>
  <si>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</si>
  <si>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</si>
  <si>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</si>
  <si>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</si>
  <si>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</si>
  <si>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</si>
  <si>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</si>
  <si>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</si>
  <si>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</si>
  <si>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</si>
  <si>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</si>
  <si>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</si>
  <si>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</si>
  <si>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</si>
  <si>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</si>
  <si>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</si>
  <si>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</si>
  <si>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</si>
  <si>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</si>
  <si>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</si>
  <si>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</si>
  <si>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</si>
  <si>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</si>
  <si>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</si>
  <si>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</si>
  <si>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</si>
  <si>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</si>
  <si>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</si>
  <si>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</si>
  <si>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</si>
  <si>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</si>
  <si>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</si>
  <si>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</si>
  <si>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</si>
  <si>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</si>
  <si>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</si>
  <si>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</si>
  <si>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</si>
  <si>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</si>
  <si>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</si>
  <si>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</si>
  <si>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</si>
  <si>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</si>
  <si>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</si>
  <si>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</si>
  <si>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</si>
  <si>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</si>
  <si>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</si>
  <si>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</si>
  <si>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</si>
  <si>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</si>
  <si>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</si>
  <si>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</si>
  <si>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</si>
  <si>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</si>
  <si>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</si>
  <si>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</si>
  <si>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</si>
  <si>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</si>
  <si>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</si>
  <si>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</si>
  <si>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</si>
  <si>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</si>
  <si>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</si>
  <si>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</si>
  <si>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</si>
  <si>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</si>
  <si>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</si>
  <si>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</si>
  <si>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</si>
  <si>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</si>
  <si>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</si>
  <si>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</si>
  <si>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</si>
  <si>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</si>
  <si>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</si>
  <si>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</si>
  <si>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</si>
  <si>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</si>
  <si>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</si>
  <si>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</si>
  <si>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</si>
  <si>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</si>
  <si>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</si>
  <si>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</si>
  <si>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</si>
  <si>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</si>
  <si>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</si>
  <si>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</si>
  <si>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</si>
  <si>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</si>
  <si>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</si>
  <si>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</si>
  <si>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</si>
  <si>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</si>
  <si>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</si>
  <si>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</si>
  <si>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</si>
  <si>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</si>
  <si>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</si>
  <si>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</si>
  <si>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</si>
  <si>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</si>
  <si>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</si>
  <si>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</si>
  <si>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</si>
  <si>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</si>
  <si>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</si>
  <si>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</si>
  <si>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</si>
  <si>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</si>
  <si>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</si>
  <si>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</si>
  <si>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</si>
  <si>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</si>
  <si>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</si>
  <si>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</si>
  <si>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</si>
  <si>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</si>
  <si>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</si>
  <si>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</si>
  <si>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</si>
  <si>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</si>
  <si>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</si>
  <si>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</si>
  <si>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</si>
  <si>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</si>
  <si>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</si>
  <si>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</si>
  <si>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</si>
  <si>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</si>
  <si>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</si>
  <si>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</si>
  <si>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</si>
  <si>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</si>
  <si>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</si>
  <si>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</si>
  <si>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</si>
  <si>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</si>
  <si>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</si>
  <si>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</si>
  <si>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</si>
  <si>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</si>
  <si>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</si>
  <si>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</si>
  <si>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</si>
  <si>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</si>
  <si>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</si>
  <si>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</si>
  <si>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</si>
  <si>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</si>
  <si>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</si>
  <si>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</si>
  <si>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</si>
  <si>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</si>
  <si>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</si>
  <si>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</si>
  <si>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</si>
  <si>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</si>
  <si>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</si>
  <si>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</si>
  <si>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</si>
  <si>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</si>
  <si>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</si>
  <si>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</si>
  <si>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</si>
  <si>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</si>
  <si>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</si>
  <si>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</si>
  <si>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</si>
  <si>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</si>
  <si>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</si>
  <si>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</si>
  <si>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</si>
  <si>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</si>
  <si>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</si>
  <si>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</si>
  <si>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</si>
  <si>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</si>
  <si>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</si>
  <si>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</si>
  <si>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</si>
  <si>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</si>
  <si>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</si>
  <si>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</si>
  <si>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</si>
  <si>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</si>
  <si>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</si>
  <si>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</si>
  <si>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</si>
  <si>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</si>
  <si>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</si>
  <si>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</si>
  <si>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</si>
  <si>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</si>
  <si>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</si>
  <si>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</si>
  <si>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</si>
  <si>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</si>
  <si>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</si>
  <si>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</si>
  <si>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</si>
  <si>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</si>
  <si>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</si>
  <si>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</si>
  <si>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</si>
  <si>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</si>
  <si>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</si>
  <si>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</si>
  <si>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</si>
  <si>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</si>
  <si>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</si>
  <si>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</si>
  <si>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</si>
  <si>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</si>
  <si>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</si>
  <si>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</si>
  <si>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</si>
  <si>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</si>
  <si>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</si>
  <si>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</si>
  <si>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</si>
  <si>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</si>
  <si>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</si>
  <si>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</si>
  <si>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</si>
  <si>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</si>
  <si>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</si>
  <si>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</si>
  <si>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</si>
  <si>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</si>
  <si>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</si>
  <si>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</si>
  <si>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</si>
  <si>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</si>
  <si>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</si>
  <si>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</si>
  <si>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</si>
  <si>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</si>
  <si>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</si>
  <si>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</si>
  <si>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</si>
  <si>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</si>
  <si>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</si>
  <si>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</si>
  <si>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</si>
  <si>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</si>
  <si>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</si>
  <si>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</si>
  <si>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</si>
  <si>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</si>
  <si>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</si>
  <si>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</si>
  <si>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</si>
  <si>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</si>
  <si>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</si>
  <si>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</si>
  <si>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</si>
  <si>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</si>
  <si>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</si>
  <si>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</si>
  <si>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</si>
  <si>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</si>
  <si>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</si>
  <si>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</si>
  <si>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</si>
  <si>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</si>
  <si>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</si>
  <si>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</si>
  <si>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</si>
  <si>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</si>
  <si>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</si>
  <si>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</si>
  <si>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</si>
  <si>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</si>
  <si>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</si>
  <si>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</si>
  <si>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</si>
  <si>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</si>
  <si>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</si>
  <si>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</si>
  <si>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</si>
  <si>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</si>
  <si>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</si>
  <si>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</si>
  <si>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</si>
  <si>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</si>
  <si>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</si>
  <si>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</si>
  <si>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</si>
  <si>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</si>
  <si>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</si>
  <si>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</si>
  <si>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</si>
  <si>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</si>
  <si>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</si>
  <si>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</si>
  <si>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</si>
  <si>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</si>
  <si>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</si>
  <si>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</si>
  <si>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</si>
  <si>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</si>
  <si>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</si>
  <si>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</si>
  <si>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</si>
  <si>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</si>
  <si>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</si>
  <si>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</si>
  <si>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</si>
  <si>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</si>
  <si>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</si>
  <si>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</si>
  <si>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</si>
  <si>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</si>
  <si>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</si>
  <si>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</si>
  <si>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</si>
  <si>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</si>
  <si>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</si>
  <si>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</si>
  <si>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</si>
  <si>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</si>
  <si>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</si>
  <si>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</si>
  <si>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</si>
  <si>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</si>
  <si>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</si>
  <si>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</si>
  <si>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</si>
  <si>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</si>
  <si>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</si>
  <si>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</si>
  <si>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</si>
  <si>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</si>
  <si>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</si>
  <si>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</si>
  <si>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</si>
  <si>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</si>
  <si>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</si>
  <si>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</si>
  <si>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</si>
  <si>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</si>
  <si>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</si>
  <si>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</si>
  <si>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</si>
  <si>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</si>
  <si>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</si>
  <si>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</si>
  <si>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</si>
  <si>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</si>
  <si>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</si>
  <si>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</si>
  <si>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</si>
  <si>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</si>
  <si>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</si>
  <si>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</si>
  <si>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</si>
  <si>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</si>
  <si>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</si>
  <si>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</si>
  <si>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</si>
  <si>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</si>
  <si>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</si>
  <si>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</si>
  <si>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</si>
  <si>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</si>
  <si>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</si>
  <si>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</si>
  <si>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</si>
  <si>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</si>
  <si>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</si>
  <si>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</si>
  <si>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</si>
  <si>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</si>
  <si>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</si>
  <si>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</si>
  <si>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</si>
  <si>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</si>
  <si>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</si>
  <si>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</si>
  <si>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</si>
  <si>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</si>
  <si>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</si>
  <si>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</si>
  <si>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</si>
  <si>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</si>
  <si>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</si>
  <si>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</si>
  <si>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</si>
  <si>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</si>
  <si>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</si>
  <si>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</si>
  <si>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</si>
  <si>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</si>
  <si>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</si>
  <si>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</si>
  <si>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</si>
  <si>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</si>
  <si>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</si>
  <si>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</si>
  <si>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</si>
  <si>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</si>
  <si>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</si>
  <si>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</si>
  <si>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</si>
  <si>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</si>
  <si>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</si>
  <si>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</si>
  <si>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</si>
  <si>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</si>
  <si>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</si>
  <si>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</si>
  <si>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</si>
  <si>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</si>
  <si>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</si>
  <si>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</si>
  <si>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</si>
  <si>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</si>
  <si>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</si>
  <si>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</si>
  <si>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</si>
  <si>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</si>
  <si>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</si>
  <si>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</si>
  <si>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</si>
  <si>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</si>
  <si>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</si>
  <si>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</si>
  <si>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</si>
  <si>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</si>
  <si>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</si>
  <si>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</si>
  <si>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</si>
  <si>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</si>
  <si>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</si>
  <si>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</si>
  <si>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</si>
  <si>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</si>
  <si>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</si>
  <si>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</si>
  <si>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</si>
  <si>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</si>
  <si>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</si>
  <si>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</si>
  <si>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</si>
  <si>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</si>
  <si>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</si>
  <si>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</si>
  <si>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</si>
  <si>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</si>
  <si>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</si>
  <si>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</si>
  <si>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</si>
  <si>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</si>
  <si>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</si>
  <si>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</si>
  <si>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</si>
  <si>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</si>
  <si>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</si>
  <si>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</si>
  <si>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</si>
  <si>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</si>
  <si>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</si>
  <si>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</si>
  <si>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</si>
  <si>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</si>
  <si>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</si>
  <si>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</si>
  <si>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</si>
  <si>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</si>
  <si>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</si>
  <si>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</si>
  <si>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</si>
  <si>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</si>
  <si>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</si>
  <si>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</si>
  <si>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</si>
  <si>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</si>
  <si>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</si>
  <si>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</si>
  <si>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</si>
  <si>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</si>
  <si>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</si>
  <si>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</si>
  <si>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</si>
  <si>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</si>
  <si>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</si>
  <si>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</si>
  <si>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</si>
  <si>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</si>
  <si>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</si>
  <si>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</si>
  <si>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</si>
  <si>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</si>
  <si>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</si>
  <si>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</si>
  <si>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</si>
  <si>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</si>
  <si>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</si>
  <si>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</si>
  <si>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</si>
  <si>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</si>
  <si>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</si>
  <si>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</si>
  <si>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</si>
  <si>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</si>
  <si>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</si>
  <si>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</si>
  <si>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</si>
  <si>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</si>
  <si>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</si>
  <si>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</si>
  <si>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</si>
  <si>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</si>
  <si>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</si>
  <si>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</si>
  <si>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</si>
  <si>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</si>
  <si>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</si>
  <si>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</si>
  <si>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</si>
  <si>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</si>
  <si>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</si>
  <si>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</si>
  <si>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</si>
  <si>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</si>
  <si>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</si>
  <si>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</si>
  <si>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</si>
  <si>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</si>
  <si>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</si>
  <si>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</si>
  <si>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</si>
  <si>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</si>
  <si>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</si>
  <si>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</si>
  <si>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</si>
  <si>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</si>
  <si>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</si>
  <si>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</si>
  <si>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</si>
  <si>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</si>
  <si>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</si>
  <si>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</si>
  <si>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</si>
  <si>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</si>
  <si>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</si>
  <si>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</si>
  <si>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</si>
  <si>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</si>
  <si>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</si>
  <si>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</si>
  <si>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</si>
  <si>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</si>
  <si>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</si>
  <si>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</si>
  <si>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</si>
  <si>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</si>
  <si>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</si>
  <si>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</si>
  <si>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</si>
  <si>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</si>
  <si>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</si>
  <si>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</si>
  <si>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</si>
  <si>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</si>
  <si>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</si>
  <si>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</si>
  <si>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</si>
  <si>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</si>
  <si>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</si>
  <si>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</si>
  <si>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</si>
  <si>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</si>
  <si>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</si>
  <si>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</si>
  <si>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</si>
  <si>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</si>
  <si>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</si>
  <si>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</si>
  <si>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</si>
  <si>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</si>
  <si>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</si>
  <si>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</si>
  <si>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</si>
  <si>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</si>
  <si>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</si>
  <si>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</si>
  <si>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</si>
  <si>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</si>
  <si>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</si>
  <si>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</si>
  <si>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</si>
  <si>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</si>
  <si>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</si>
  <si>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</si>
  <si>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</si>
  <si>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</si>
  <si>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</si>
  <si>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</si>
  <si>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</si>
  <si>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</si>
  <si>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</si>
  <si>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</si>
  <si>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</si>
  <si>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</si>
  <si>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</si>
  <si>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</si>
  <si>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</si>
  <si>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</si>
  <si>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</si>
  <si>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</si>
  <si>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</si>
  <si>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</si>
  <si>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</si>
  <si>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</si>
  <si>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</si>
  <si>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</si>
  <si>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</si>
  <si>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</si>
  <si>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</si>
  <si>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</si>
  <si>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</si>
  <si>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</si>
  <si>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</si>
  <si>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</si>
  <si>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</si>
  <si>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</si>
  <si>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</si>
  <si>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</si>
  <si>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</si>
  <si>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</si>
  <si>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</si>
  <si>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</si>
  <si>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</si>
  <si>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</si>
  <si>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</si>
  <si>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</si>
  <si>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</si>
  <si>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</si>
  <si>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</si>
  <si>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</si>
  <si>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</si>
  <si>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</si>
  <si>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</si>
  <si>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</si>
  <si>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</si>
  <si>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</si>
  <si>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</si>
  <si>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</si>
  <si>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</si>
  <si>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</si>
  <si>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</si>
  <si>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</si>
  <si>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</si>
  <si>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</si>
  <si>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</si>
  <si>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</si>
  <si>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</si>
  <si>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</si>
  <si>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</si>
  <si>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</si>
  <si>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</si>
  <si>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</si>
  <si>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</si>
  <si>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</si>
  <si>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</si>
  <si>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</si>
  <si>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</si>
  <si>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</si>
  <si>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</si>
  <si>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</si>
  <si>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</si>
  <si>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</si>
  <si>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</si>
  <si>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</si>
  <si>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</si>
  <si>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</si>
  <si>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</si>
  <si>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</si>
  <si>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</si>
  <si>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</si>
  <si>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</si>
  <si>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</si>
  <si>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</si>
  <si>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</si>
  <si>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</si>
  <si>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</si>
  <si>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</si>
  <si>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</si>
  <si>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</si>
  <si>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</si>
  <si>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</si>
  <si>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</si>
  <si>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</si>
  <si>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</si>
  <si>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</si>
  <si>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</si>
  <si>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</si>
  <si>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</si>
  <si>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</si>
  <si>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</si>
  <si>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</si>
  <si>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</si>
  <si>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</si>
  <si>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</si>
  <si>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</si>
  <si>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</si>
  <si>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</si>
  <si>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</si>
  <si>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</si>
  <si>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</si>
  <si>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</si>
  <si>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</si>
  <si>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</si>
  <si>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</si>
  <si>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</si>
  <si>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</si>
  <si>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</si>
  <si>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</si>
  <si>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</si>
  <si>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</si>
  <si>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</si>
  <si>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</si>
  <si>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</si>
  <si>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</si>
  <si>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</si>
  <si>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</si>
  <si>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</si>
  <si>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</si>
  <si>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</si>
  <si>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</si>
  <si>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</si>
  <si>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</si>
  <si>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</si>
  <si>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</si>
  <si>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</si>
  <si>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</si>
  <si>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</si>
  <si>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</si>
  <si>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</si>
  <si>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</si>
  <si>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</si>
  <si>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</si>
  <si>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</si>
  <si>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</si>
  <si>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</si>
  <si>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</si>
  <si>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</si>
  <si>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</si>
  <si>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</si>
  <si>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</si>
  <si>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</si>
  <si>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</si>
  <si>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</si>
  <si>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</si>
  <si>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</si>
  <si>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</si>
  <si>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</si>
  <si>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</si>
  <si>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</si>
  <si>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</si>
  <si>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</si>
  <si>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</si>
  <si>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</si>
  <si>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</si>
  <si>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</si>
  <si>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</si>
  <si>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</si>
  <si>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</si>
  <si>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</si>
  <si>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</si>
  <si>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</si>
  <si>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</si>
  <si>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</si>
  <si>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</si>
  <si>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</si>
  <si>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</si>
  <si>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</si>
  <si>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</si>
  <si>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</si>
  <si>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</si>
  <si>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</si>
  <si>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</si>
  <si>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</si>
  <si>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</si>
  <si>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</si>
  <si>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</si>
  <si>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</si>
  <si>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</si>
  <si>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</si>
  <si>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</si>
  <si>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</si>
  <si>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</si>
  <si>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</si>
  <si>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</si>
  <si>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</si>
  <si>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</si>
  <si>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</si>
  <si>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</si>
  <si>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</si>
  <si>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</si>
  <si>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</si>
  <si>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</si>
  <si>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</si>
  <si>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</si>
  <si>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</si>
  <si>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</si>
  <si>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</si>
  <si>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</si>
  <si>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</si>
  <si>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</si>
  <si>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</si>
  <si>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</si>
  <si>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</si>
  <si>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</si>
  <si>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</si>
  <si>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</si>
  <si>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</si>
  <si>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</si>
  <si>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</si>
  <si>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</si>
  <si>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</si>
  <si>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</si>
  <si>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</si>
  <si>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</si>
  <si>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</si>
  <si>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</si>
  <si>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</si>
  <si>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</si>
  <si>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</si>
  <si>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</si>
  <si>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</si>
  <si>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</si>
  <si>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</si>
  <si>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</si>
  <si>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</si>
  <si>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</si>
  <si>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</si>
  <si>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</si>
  <si>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</si>
  <si>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</si>
  <si>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</si>
  <si>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</si>
  <si>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</si>
  <si>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</si>
  <si>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</si>
  <si>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</si>
  <si>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</si>
  <si>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</si>
  <si>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</si>
  <si>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</si>
  <si>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</si>
  <si>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</si>
  <si>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</si>
  <si>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</si>
  <si>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</si>
  <si>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</si>
  <si>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</si>
  <si>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</si>
  <si>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</si>
  <si>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</si>
  <si>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</si>
  <si>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</si>
  <si>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</si>
  <si>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</si>
  <si>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</si>
  <si>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</si>
  <si>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</si>
  <si>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</si>
  <si>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</si>
  <si>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</si>
  <si>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</si>
  <si>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</si>
  <si>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</si>
  <si>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</si>
  <si>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</si>
  <si>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</si>
  <si>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</si>
  <si>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</si>
  <si>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</si>
  <si>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</si>
  <si>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</si>
  <si>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</si>
  <si>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</si>
  <si>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</si>
  <si>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</si>
  <si>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</si>
  <si>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</si>
  <si>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</si>
  <si>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</si>
  <si>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</si>
  <si>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</si>
  <si>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</si>
  <si>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</si>
  <si>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</si>
  <si>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</si>
  <si>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</si>
  <si>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</si>
  <si>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</si>
  <si>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</si>
  <si>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</si>
  <si>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</si>
  <si>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</si>
  <si>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</si>
  <si>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</si>
  <si>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</si>
  <si>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</si>
  <si>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</si>
  <si>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</si>
  <si>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</si>
  <si>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</si>
  <si>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</si>
  <si>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</si>
  <si>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</si>
  <si>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</si>
  <si>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</si>
  <si>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</si>
  <si>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</si>
  <si>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</si>
  <si>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</si>
  <si>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</si>
  <si>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</si>
  <si>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</si>
  <si>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</si>
  <si>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</si>
  <si>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</si>
  <si>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</si>
  <si>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</si>
  <si>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</si>
  <si>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</si>
  <si>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</si>
  <si>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</si>
  <si>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</si>
  <si>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</si>
  <si>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</si>
  <si>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</si>
  <si>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</si>
  <si>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</si>
  <si>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</si>
  <si>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</si>
  <si>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</si>
  <si>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</si>
  <si>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</si>
  <si>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</si>
  <si>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</si>
  <si>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</si>
  <si>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</si>
  <si>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</si>
  <si>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</si>
  <si>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</si>
  <si>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</si>
  <si>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</si>
  <si>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</si>
  <si>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</si>
  <si>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</si>
  <si>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</si>
  <si>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</si>
  <si>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</si>
  <si>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</si>
  <si>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</si>
  <si>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</si>
  <si>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</si>
  <si>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</si>
  <si>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</si>
  <si>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</si>
  <si>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</si>
  <si>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</si>
  <si>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</si>
  <si>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</si>
  <si>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</si>
  <si>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</si>
  <si>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</si>
  <si>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</si>
  <si>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</si>
  <si>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</si>
  <si>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</si>
  <si>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</si>
  <si>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</si>
  <si>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</si>
  <si>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</si>
  <si>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</si>
  <si>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</si>
  <si>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</si>
  <si>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</si>
  <si>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</si>
  <si>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</si>
  <si>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</si>
  <si>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</si>
  <si>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</si>
  <si>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</si>
  <si>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</si>
  <si>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</si>
  <si>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</si>
  <si>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</si>
  <si>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</si>
  <si>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</si>
  <si>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</si>
  <si>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</si>
  <si>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</si>
  <si>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</si>
  <si>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</si>
  <si>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</si>
  <si>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</si>
  <si>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</si>
  <si>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</si>
  <si>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</si>
  <si>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</si>
  <si>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</si>
  <si>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</si>
  <si>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</si>
  <si>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</si>
  <si>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</si>
  <si>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</si>
  <si>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</si>
  <si>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</si>
  <si>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</si>
  <si>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</si>
  <si>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</si>
  <si>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</si>
  <si>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</si>
  <si>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</si>
  <si>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</si>
  <si>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</si>
  <si>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</si>
  <si>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</si>
  <si>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</si>
  <si>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</si>
  <si>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</si>
  <si>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</si>
  <si>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</si>
  <si>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</si>
  <si>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</si>
  <si>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</si>
  <si>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</si>
  <si>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</si>
  <si>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</si>
  <si>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</si>
  <si>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</si>
  <si>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</si>
  <si>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</si>
  <si>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</si>
  <si>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</si>
  <si>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</si>
  <si>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</si>
  <si>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</si>
  <si>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</si>
  <si>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</si>
  <si>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</si>
  <si>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</si>
  <si>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</si>
  <si>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</si>
  <si>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</si>
  <si>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</si>
  <si>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</si>
  <si>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</si>
  <si>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</si>
  <si>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</si>
  <si>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</si>
  <si>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</si>
  <si>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</si>
  <si>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</si>
  <si>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</si>
  <si>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</si>
  <si>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</si>
  <si>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</si>
  <si>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</si>
  <si>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</si>
  <si>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</si>
  <si>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</si>
  <si>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</si>
  <si>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</si>
  <si>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</si>
  <si>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</si>
  <si>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</si>
  <si>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</si>
  <si>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</si>
  <si>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</si>
  <si>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</si>
  <si>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</si>
  <si>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</si>
  <si>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</si>
  <si>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</si>
  <si>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</si>
  <si>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</si>
  <si>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</si>
  <si>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</si>
  <si>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</si>
  <si>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</si>
  <si>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</si>
  <si>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</si>
  <si>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</si>
  <si>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</si>
  <si>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</si>
  <si>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</si>
  <si>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</si>
  <si>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</si>
  <si>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</si>
  <si>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</si>
  <si>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</si>
  <si>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</si>
  <si>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</si>
  <si>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</si>
  <si>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</si>
  <si>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</si>
  <si>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</si>
  <si>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</si>
  <si>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</si>
  <si>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</si>
  <si>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</si>
  <si>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</si>
  <si>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</si>
  <si>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</si>
  <si>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</si>
  <si>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</si>
  <si>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</si>
  <si>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</si>
  <si>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</si>
  <si>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</si>
  <si>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</si>
  <si>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</si>
  <si>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</si>
  <si>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</si>
  <si>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</si>
  <si>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</si>
  <si>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</si>
  <si>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</si>
  <si>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</si>
  <si>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</si>
  <si>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</si>
  <si>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</si>
  <si>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</si>
  <si>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</si>
  <si>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</si>
  <si>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</si>
  <si>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</si>
  <si>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</si>
  <si>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</si>
  <si>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</si>
  <si>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</si>
  <si>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</si>
  <si>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</si>
  <si>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</si>
  <si>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</si>
  <si>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</si>
  <si>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</si>
  <si>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</si>
  <si>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</si>
  <si>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</si>
  <si>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</si>
  <si>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</si>
  <si>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</si>
  <si>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</si>
  <si>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</si>
  <si>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</si>
  <si>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</si>
  <si>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</si>
  <si>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</si>
  <si>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</si>
  <si>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</si>
  <si>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</si>
  <si>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</si>
  <si>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</si>
  <si>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</si>
  <si>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</si>
  <si>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</si>
  <si>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</si>
  <si>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</si>
  <si>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</si>
  <si>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</si>
  <si>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</si>
  <si>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</si>
  <si>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</si>
  <si>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</si>
  <si>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</si>
  <si>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</si>
  <si>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</si>
  <si>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</si>
  <si>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</si>
  <si>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</si>
  <si>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</si>
  <si>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</si>
  <si>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</si>
  <si>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</si>
  <si>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</si>
  <si>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</si>
  <si>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</si>
  <si>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</si>
  <si>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</si>
  <si>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</si>
  <si>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</si>
  <si>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</si>
  <si>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</si>
  <si>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</si>
  <si>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</si>
  <si>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</si>
  <si>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</si>
  <si>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</si>
  <si>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</si>
  <si>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</si>
  <si>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</si>
  <si>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</si>
  <si>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</si>
  <si>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</si>
  <si>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</si>
  <si>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</si>
  <si>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</si>
  <si>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</si>
  <si>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</si>
  <si>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</si>
  <si>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</si>
  <si>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</si>
  <si>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</si>
  <si>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</si>
  <si>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</si>
  <si>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</si>
  <si>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</si>
  <si>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</si>
  <si>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</si>
  <si>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</si>
  <si>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</si>
  <si>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</si>
  <si>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</si>
  <si>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</si>
  <si>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</si>
  <si>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</si>
  <si>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</si>
  <si>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</si>
  <si>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</si>
  <si>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</si>
  <si>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</si>
  <si>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</si>
  <si>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</si>
  <si>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</si>
  <si>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</si>
  <si>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</si>
  <si>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</si>
  <si>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</si>
  <si>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</si>
  <si>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</si>
  <si>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</si>
  <si>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</si>
  <si>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</si>
  <si>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</si>
  <si>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</si>
  <si>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</si>
  <si>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</si>
  <si>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</si>
  <si>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</si>
  <si>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</si>
  <si>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</si>
  <si>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</si>
  <si>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</si>
  <si>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</si>
  <si>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</si>
  <si>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</si>
  <si>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</si>
  <si>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</si>
  <si>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</si>
  <si>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</si>
  <si>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</si>
  <si>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</si>
  <si>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</si>
  <si>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</si>
  <si>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</si>
  <si>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</si>
  <si>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</si>
  <si>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</si>
  <si>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</si>
  <si>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</si>
  <si>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</si>
  <si>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</si>
  <si>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</si>
  <si>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</si>
  <si>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</si>
  <si>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</si>
  <si>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</si>
  <si>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</si>
  <si>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</si>
  <si>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</si>
  <si>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</si>
  <si>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</si>
  <si>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</si>
  <si>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</si>
  <si>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</si>
  <si>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</si>
  <si>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</si>
  <si>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</si>
  <si>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</si>
  <si>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</si>
  <si>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</si>
  <si>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</si>
  <si>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</si>
  <si>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</si>
  <si>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</si>
  <si>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</si>
  <si>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</si>
  <si>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</si>
  <si>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</si>
  <si>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</si>
  <si>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</si>
  <si>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</si>
  <si>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</si>
  <si>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</si>
  <si>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</si>
  <si>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</si>
  <si>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</si>
  <si>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</si>
  <si>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</si>
  <si>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</si>
  <si>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</si>
  <si>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</si>
  <si>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</si>
  <si>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</si>
  <si>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</si>
  <si>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</si>
  <si>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</si>
  <si>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</si>
  <si>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</si>
  <si>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</si>
  <si>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</si>
  <si>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</si>
  <si>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</si>
  <si>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</si>
  <si>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</si>
  <si>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</si>
  <si>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</si>
  <si>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</si>
  <si>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</si>
  <si>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</si>
  <si>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</si>
  <si>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</si>
  <si>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</si>
  <si>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</si>
  <si>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</si>
  <si>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</si>
  <si>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</si>
  <si>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</si>
  <si>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</si>
  <si>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</si>
  <si>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</si>
  <si>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</si>
  <si>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</si>
  <si>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</si>
  <si>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</si>
  <si>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</si>
  <si>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</si>
  <si>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</si>
  <si>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</si>
  <si>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</si>
  <si>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</si>
  <si>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</si>
  <si>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</si>
  <si>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</si>
  <si>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</si>
  <si>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</si>
  <si>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</si>
  <si>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</si>
  <si>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</si>
  <si>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</si>
  <si>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</si>
  <si>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</si>
  <si>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</si>
  <si>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</si>
  <si>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</si>
  <si>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</si>
  <si>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</si>
  <si>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</si>
  <si>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</si>
  <si>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</si>
  <si>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</si>
  <si>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</si>
  <si>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</si>
  <si>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</si>
  <si>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</si>
  <si>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</si>
  <si>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</si>
  <si>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</si>
  <si>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</si>
  <si>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</si>
  <si>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</si>
  <si>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</si>
  <si>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</si>
  <si>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</si>
  <si>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</si>
  <si>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</si>
  <si>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</si>
  <si>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</si>
  <si>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</si>
  <si>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</si>
  <si>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</si>
  <si>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</si>
  <si>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</si>
  <si>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</si>
  <si>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</si>
  <si>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</si>
  <si>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</si>
  <si>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</si>
  <si>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</si>
  <si>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</si>
  <si>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</si>
  <si>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</si>
  <si>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</si>
  <si>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</si>
  <si>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</si>
  <si>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</si>
  <si>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</si>
  <si>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</si>
  <si>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</si>
  <si>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</si>
  <si>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</si>
  <si>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</si>
  <si>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</si>
  <si>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</si>
  <si>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</si>
  <si>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</si>
  <si>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</si>
  <si>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</si>
  <si>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</si>
  <si>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</si>
  <si>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</si>
  <si>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</si>
  <si>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</si>
  <si>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</si>
  <si>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</si>
  <si>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</si>
  <si>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</si>
  <si>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</si>
  <si>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</si>
  <si>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</si>
  <si>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</si>
  <si>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</si>
  <si>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</si>
  <si>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</si>
  <si>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</si>
  <si>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</si>
  <si>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</si>
  <si>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</si>
  <si>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</si>
  <si>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</si>
  <si>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</si>
  <si>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</si>
  <si>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</si>
  <si>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</si>
  <si>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</si>
  <si>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</si>
  <si>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</si>
  <si>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</si>
  <si>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</si>
  <si>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</si>
  <si>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</si>
  <si>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</si>
  <si>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</si>
  <si>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</si>
  <si>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</si>
  <si>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</si>
  <si>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</si>
  <si>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</si>
  <si>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</si>
  <si>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</si>
  <si>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</si>
  <si>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</si>
  <si>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</si>
  <si>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</si>
  <si>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</si>
  <si>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</si>
  <si>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</si>
  <si>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</si>
  <si>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</si>
  <si>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</si>
  <si>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</si>
  <si>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</si>
  <si>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</si>
  <si>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</si>
  <si>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</si>
  <si>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</si>
  <si>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</si>
  <si>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</si>
  <si>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</si>
  <si>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</si>
  <si>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</si>
  <si>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</si>
  <si>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</si>
  <si>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</si>
  <si>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</si>
  <si>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</si>
  <si>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</si>
  <si>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</si>
  <si>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</si>
  <si>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</si>
  <si>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</si>
  <si>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</si>
  <si>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</si>
  <si>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</si>
  <si>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</si>
  <si>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</si>
  <si>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</si>
  <si>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</si>
  <si>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</si>
  <si>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</si>
  <si>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</si>
  <si>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</si>
  <si>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</si>
  <si>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</si>
  <si>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</si>
  <si>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</si>
  <si>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</si>
  <si>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</si>
  <si>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</si>
  <si>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</si>
  <si>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</si>
  <si>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</si>
  <si>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</si>
  <si>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</si>
  <si>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</si>
  <si>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</si>
  <si>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</si>
  <si>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</si>
  <si>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</si>
  <si>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</si>
  <si>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</si>
  <si>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</si>
  <si>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</si>
  <si>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</si>
  <si>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</si>
  <si>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</si>
  <si>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</si>
  <si>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</si>
  <si>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</si>
  <si>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</si>
  <si>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</si>
  <si>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</si>
  <si>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</si>
  <si>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</si>
  <si>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</si>
  <si>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</si>
  <si>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</si>
  <si>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</si>
  <si>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</si>
  <si>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</si>
  <si>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</si>
  <si>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</si>
  <si>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</si>
  <si>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</si>
  <si>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</si>
  <si>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</si>
  <si>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</si>
  <si>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</si>
  <si>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</si>
  <si>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</si>
  <si>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</si>
  <si>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</si>
  <si>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</si>
  <si>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</si>
  <si>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</si>
  <si>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</si>
  <si>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</si>
  <si>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</si>
  <si>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</si>
  <si>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</si>
  <si>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</si>
  <si>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</si>
  <si>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</si>
  <si>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</si>
  <si>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</si>
  <si>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</si>
  <si>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</si>
  <si>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</si>
  <si>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</si>
  <si>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</si>
  <si>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</si>
  <si>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</si>
  <si>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</si>
  <si>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</si>
  <si>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</si>
  <si>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</si>
  <si>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</si>
  <si>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</si>
  <si>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</si>
  <si>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</si>
  <si>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</si>
  <si>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</si>
  <si>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</si>
  <si>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</si>
  <si>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</si>
  <si>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</si>
  <si>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</si>
  <si>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</si>
  <si>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</si>
  <si>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</si>
  <si>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</si>
  <si>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</si>
  <si>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</si>
  <si>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</si>
  <si>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</si>
  <si>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</si>
  <si>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</si>
  <si>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</si>
  <si>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</si>
  <si>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</si>
  <si>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</si>
  <si>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</si>
  <si>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</si>
  <si>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</si>
  <si>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</si>
  <si>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</si>
  <si>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</si>
  <si>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</si>
  <si>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</si>
  <si>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</si>
  <si>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</si>
  <si>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</si>
  <si>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</si>
  <si>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</si>
  <si>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</si>
  <si>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</si>
  <si>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</si>
  <si>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</si>
  <si>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</si>
  <si>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</si>
  <si>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</si>
  <si>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</si>
  <si>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</si>
  <si>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</si>
  <si>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</si>
  <si>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</si>
  <si>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</si>
  <si>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</si>
  <si>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</si>
  <si>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</si>
  <si>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</si>
  <si>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</si>
  <si>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</si>
  <si>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</si>
  <si>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</si>
  <si>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</si>
  <si>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</si>
  <si>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</si>
  <si>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</si>
  <si>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</si>
  <si>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</si>
  <si>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</si>
  <si>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</si>
  <si>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</si>
  <si>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</si>
  <si>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</si>
  <si>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</si>
  <si>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</si>
  <si>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</si>
  <si>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</si>
  <si>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</si>
  <si>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</si>
  <si>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</si>
  <si>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</si>
  <si>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</si>
  <si>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</si>
  <si>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</si>
  <si>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</si>
  <si>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</si>
  <si>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</si>
  <si>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</si>
  <si>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</si>
  <si>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</si>
  <si>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</si>
  <si>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</si>
  <si>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</si>
  <si>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</si>
  <si>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</si>
  <si>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</si>
  <si>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</si>
  <si>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</si>
  <si>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</si>
  <si>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</si>
  <si>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</si>
  <si>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</si>
  <si>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</si>
  <si>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</si>
  <si>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</si>
  <si>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</si>
  <si>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</si>
  <si>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</si>
  <si>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</si>
  <si>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</si>
  <si>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</si>
  <si>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</si>
  <si>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</si>
  <si>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</si>
  <si>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</si>
  <si>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</si>
  <si>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</si>
  <si>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</si>
  <si>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</si>
  <si>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</si>
  <si>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</si>
  <si>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</si>
  <si>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</si>
  <si>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</si>
  <si>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</si>
  <si>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</si>
  <si>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</si>
  <si>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</si>
  <si>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</si>
  <si>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</si>
  <si>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</si>
  <si>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</si>
  <si>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</si>
  <si>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</si>
  <si>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</si>
  <si>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</si>
  <si>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</si>
  <si>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</si>
  <si>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</si>
  <si>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</si>
  <si>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</si>
  <si>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</si>
  <si>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</si>
  <si>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</si>
  <si>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</si>
  <si>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</si>
  <si>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</si>
  <si>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</si>
  <si>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</si>
  <si>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</si>
  <si>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</si>
  <si>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</si>
  <si>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</si>
  <si>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</si>
  <si>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</si>
  <si>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</si>
  <si>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</si>
  <si>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</si>
  <si>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</si>
  <si>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</si>
  <si>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</si>
  <si>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</si>
  <si>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</si>
  <si>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</si>
  <si>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</si>
  <si>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</si>
  <si>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</si>
  <si>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</si>
  <si>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</si>
  <si>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</si>
  <si>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</si>
  <si>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</si>
  <si>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</si>
  <si>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</si>
  <si>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</si>
  <si>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</si>
  <si>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</si>
  <si>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</si>
  <si>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</si>
  <si>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</si>
  <si>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</si>
  <si>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</si>
  <si>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</si>
  <si>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</si>
  <si>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</si>
  <si>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</si>
  <si>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</si>
  <si>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</si>
  <si>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</si>
  <si>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</si>
  <si>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</si>
  <si>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</si>
  <si>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</si>
  <si>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</si>
  <si>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</si>
  <si>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</si>
  <si>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</si>
  <si>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</si>
  <si>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</si>
  <si>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</si>
  <si>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</si>
  <si>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</si>
  <si>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</si>
  <si>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</si>
  <si>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</si>
  <si>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</si>
  <si>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</si>
  <si>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</si>
  <si>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</si>
  <si>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</si>
  <si>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</si>
  <si>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</si>
  <si>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</si>
  <si>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</si>
  <si>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</si>
  <si>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</si>
  <si>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</si>
  <si>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</si>
  <si>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</si>
  <si>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</si>
  <si>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</si>
  <si>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</si>
  <si>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</si>
  <si>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</si>
  <si>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</si>
  <si>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</si>
  <si>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</si>
  <si>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</si>
  <si>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</si>
  <si>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</si>
  <si>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</si>
  <si>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</si>
  <si>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</si>
  <si>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</si>
  <si>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</si>
  <si>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</si>
  <si>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</si>
  <si>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</si>
  <si>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</si>
  <si>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</si>
  <si>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</si>
  <si>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</si>
  <si>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</si>
  <si>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</si>
  <si>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</si>
  <si>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</si>
  <si>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</si>
  <si>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</si>
  <si>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</si>
  <si>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</si>
  <si>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</si>
  <si>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</si>
  <si>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</si>
  <si>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</si>
  <si>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</si>
  <si>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</si>
  <si>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</si>
  <si>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</si>
  <si>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</si>
  <si>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</si>
  <si>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</si>
  <si>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</si>
  <si>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</si>
  <si>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</si>
  <si>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</si>
  <si>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</si>
  <si>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</si>
  <si>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</si>
  <si>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</si>
  <si>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</si>
  <si>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</si>
  <si>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</si>
  <si>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</si>
  <si>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</si>
  <si>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</si>
  <si>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</si>
  <si>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</si>
  <si>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</si>
  <si>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</si>
  <si>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</si>
  <si>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</si>
  <si>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</si>
  <si>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</si>
  <si>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</si>
  <si>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</si>
  <si>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</si>
  <si>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</si>
  <si>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</si>
  <si>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</si>
  <si>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</si>
  <si>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</si>
  <si>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</si>
  <si>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</si>
  <si>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</si>
  <si>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</si>
  <si>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</si>
  <si>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</si>
  <si>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</si>
  <si>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</si>
  <si>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</si>
  <si>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</si>
  <si>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</si>
  <si>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</si>
  <si>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</si>
  <si>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</si>
  <si>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</si>
  <si>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</si>
  <si>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</si>
  <si>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</si>
  <si>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</si>
  <si>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</si>
  <si>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</si>
  <si>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</si>
  <si>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</si>
  <si>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</si>
  <si>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</si>
  <si>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</si>
  <si>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</si>
  <si>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</si>
  <si>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</si>
  <si>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</si>
  <si>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</si>
  <si>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</si>
  <si>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</si>
  <si>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</si>
  <si>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</si>
  <si>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</si>
  <si>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</si>
  <si>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</si>
  <si>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</si>
  <si>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</si>
  <si>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</si>
  <si>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</si>
  <si>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</si>
  <si>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</si>
  <si>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</si>
  <si>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</si>
  <si>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</si>
  <si>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</si>
  <si>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</si>
  <si>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</si>
  <si>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</si>
  <si>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</si>
  <si>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</si>
  <si>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</si>
  <si>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</si>
  <si>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</si>
  <si>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</si>
  <si>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</si>
  <si>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</si>
  <si>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</si>
  <si>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</si>
  <si>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</si>
  <si>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</si>
  <si>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</si>
  <si>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</si>
  <si>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</si>
  <si>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</si>
  <si>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</si>
  <si>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</si>
  <si>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</si>
  <si>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</si>
  <si>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</si>
  <si>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</si>
  <si>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</si>
  <si>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</si>
  <si>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</si>
  <si>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</si>
  <si>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</si>
  <si>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</si>
  <si>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</si>
  <si>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</si>
  <si>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</si>
  <si>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</si>
  <si>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</si>
  <si>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</si>
  <si>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</si>
  <si>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</si>
  <si>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</si>
  <si>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</si>
  <si>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</si>
  <si>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</si>
  <si>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</si>
  <si>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</si>
  <si>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</si>
  <si>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</si>
  <si>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</si>
  <si>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</si>
  <si>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</si>
  <si>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</si>
  <si>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</si>
  <si>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</si>
  <si>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</si>
  <si>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</si>
  <si>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</si>
  <si>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</si>
  <si>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</si>
  <si>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</si>
  <si>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</si>
  <si>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</si>
  <si>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</si>
  <si>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</si>
  <si>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</si>
  <si>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</si>
  <si>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</si>
  <si>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</si>
  <si>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</si>
  <si>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</si>
  <si>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</si>
  <si>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</si>
  <si>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</si>
  <si>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</si>
  <si>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</si>
  <si>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</si>
  <si>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</si>
  <si>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</si>
  <si>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</si>
  <si>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</si>
  <si>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</si>
  <si>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</si>
  <si>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</si>
  <si>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</si>
  <si>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</si>
  <si>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</si>
  <si>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</si>
  <si>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</si>
  <si>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</si>
  <si>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</si>
  <si>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</si>
  <si>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</si>
  <si>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</si>
  <si>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</si>
  <si>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</si>
  <si>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</si>
  <si>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</si>
  <si>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</si>
  <si>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</si>
  <si>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</si>
  <si>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</si>
  <si>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</si>
  <si>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</si>
  <si>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</si>
  <si>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</si>
  <si>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</si>
  <si>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</si>
  <si>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</si>
  <si>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</si>
  <si>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</si>
  <si>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</si>
  <si>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</si>
  <si>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</si>
  <si>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</si>
  <si>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</si>
  <si>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</si>
  <si>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</si>
  <si>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</si>
  <si>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</si>
  <si>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</si>
  <si>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</si>
  <si>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</si>
  <si>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</si>
  <si>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</si>
  <si>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</si>
  <si>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</si>
  <si>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</si>
  <si>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</si>
  <si>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</si>
  <si>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</si>
  <si>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</si>
  <si>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</si>
  <si>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</si>
  <si>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</si>
  <si>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</si>
  <si>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</si>
  <si>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</si>
  <si>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</si>
  <si>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</si>
  <si>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</si>
  <si>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</si>
  <si>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</si>
  <si>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</si>
  <si>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</si>
  <si>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</si>
  <si>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</si>
  <si>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</si>
  <si>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</si>
  <si>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</si>
  <si>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</si>
  <si>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</si>
  <si>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</si>
  <si>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</si>
  <si>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</si>
  <si>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</si>
  <si>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</si>
  <si>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</si>
  <si>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</si>
  <si>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</si>
  <si>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</si>
  <si>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</si>
  <si>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</si>
  <si>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</si>
  <si>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</si>
  <si>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</si>
  <si>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</si>
  <si>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</si>
  <si>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</si>
  <si>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</si>
  <si>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</si>
  <si>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</si>
  <si>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</si>
  <si>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</si>
  <si>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</si>
  <si>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</si>
  <si>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</si>
  <si>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</si>
  <si>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</si>
  <si>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</si>
  <si>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</si>
  <si>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</si>
  <si>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</si>
  <si>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</si>
  <si>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</si>
  <si>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</si>
  <si>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</si>
  <si>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</si>
  <si>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</si>
  <si>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</si>
  <si>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</si>
  <si>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</si>
  <si>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</si>
  <si>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</si>
  <si>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</si>
  <si>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</si>
  <si>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</si>
  <si>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</si>
  <si>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</si>
  <si>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</si>
  <si>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</si>
  <si>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</si>
  <si>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</si>
  <si>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</si>
  <si>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</si>
  <si>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</si>
  <si>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</si>
  <si>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</si>
  <si>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</si>
  <si>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</si>
  <si>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</si>
  <si>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</si>
  <si>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</si>
  <si>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</si>
  <si>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</si>
  <si>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</si>
  <si>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</si>
  <si>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</si>
  <si>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</si>
  <si>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</si>
  <si>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</si>
  <si>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</si>
  <si>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</si>
  <si>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</si>
  <si>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</si>
  <si>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</si>
  <si>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</si>
  <si>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</si>
  <si>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</si>
  <si>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</si>
  <si>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</si>
  <si>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</si>
  <si>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</si>
  <si>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</si>
  <si>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</si>
  <si>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</si>
  <si>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</si>
  <si>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</si>
  <si>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</si>
  <si>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</si>
  <si>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</si>
  <si>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</si>
  <si>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</si>
  <si>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</si>
  <si>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</si>
  <si>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</si>
  <si>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</si>
  <si>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</si>
  <si>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</si>
  <si>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</si>
  <si>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</si>
  <si>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</si>
  <si>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</si>
  <si>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</si>
  <si>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</si>
  <si>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</si>
  <si>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</si>
  <si>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</si>
  <si>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</si>
  <si>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</si>
  <si>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</si>
  <si>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</si>
  <si>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</si>
  <si>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</si>
  <si>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</si>
  <si>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</si>
  <si>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</si>
  <si>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</si>
  <si>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</si>
  <si>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</si>
  <si>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</si>
  <si>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</si>
  <si>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</si>
  <si>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</si>
  <si>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</si>
  <si>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</si>
  <si>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</si>
  <si>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</si>
  <si>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</si>
  <si>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</si>
  <si>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</si>
  <si>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</si>
  <si>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</si>
  <si>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</si>
  <si>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</si>
  <si>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</si>
  <si>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</si>
  <si>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</si>
  <si>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</si>
  <si>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</si>
  <si>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</si>
  <si>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</si>
  <si>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</si>
  <si>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</si>
  <si>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</si>
  <si>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</si>
  <si>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</si>
  <si>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</si>
  <si>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</si>
  <si>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</si>
  <si>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</si>
  <si>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</si>
  <si>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</si>
  <si>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</si>
  <si>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</si>
  <si>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</si>
  <si>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</si>
  <si>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</si>
  <si>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</si>
  <si>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</si>
  <si>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</si>
  <si>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</si>
  <si>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</si>
  <si>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</si>
  <si>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</si>
  <si>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</si>
  <si>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</si>
  <si>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</si>
  <si>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</si>
  <si>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</si>
  <si>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</si>
  <si>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</si>
  <si>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</si>
  <si>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</si>
  <si>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</si>
  <si>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</si>
  <si>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</si>
  <si>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</si>
  <si>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</si>
  <si>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</si>
  <si>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</si>
  <si>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</si>
  <si>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</si>
  <si>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</si>
  <si>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</si>
  <si>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</si>
  <si>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</si>
  <si>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</si>
  <si>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</si>
  <si>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</si>
  <si>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</si>
  <si>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</si>
  <si>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</si>
  <si>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</si>
  <si>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</si>
  <si>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</si>
  <si>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</si>
  <si>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</si>
  <si>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</si>
  <si>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</si>
  <si>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</si>
  <si>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</si>
  <si>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</si>
  <si>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</si>
  <si>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</si>
  <si>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</si>
  <si>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</si>
  <si>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</si>
  <si>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</si>
  <si>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</si>
  <si>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</si>
  <si>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</si>
  <si>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</si>
  <si>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</si>
  <si>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</si>
  <si>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</si>
  <si>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</si>
  <si>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</si>
  <si>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</si>
  <si>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</si>
  <si>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</si>
  <si>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</si>
  <si>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</si>
  <si>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</si>
  <si>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</si>
  <si>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</si>
  <si>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</si>
  <si>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</si>
  <si>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</si>
  <si>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</si>
  <si>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</si>
  <si>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</si>
  <si>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</si>
  <si>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</si>
  <si>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</si>
  <si>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</si>
  <si>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</si>
  <si>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</si>
  <si>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</si>
  <si>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</si>
  <si>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</si>
  <si>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</si>
  <si>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</si>
  <si>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</si>
  <si>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</si>
  <si>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</si>
  <si>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</si>
  <si>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</si>
  <si>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</si>
  <si>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</si>
  <si>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</si>
  <si>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</si>
  <si>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</si>
  <si>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</si>
  <si>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</si>
  <si>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</si>
  <si>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</si>
  <si>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</si>
  <si>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</si>
  <si>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</si>
  <si>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</si>
  <si>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</si>
  <si>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</si>
  <si>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</si>
  <si>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</si>
  <si>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</si>
  <si>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</si>
  <si>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</si>
  <si>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</si>
  <si>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</si>
  <si>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</si>
  <si>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</si>
  <si>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</si>
  <si>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</si>
  <si>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</si>
  <si>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</si>
  <si>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</si>
  <si>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</si>
  <si>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</si>
  <si>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</si>
  <si>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</si>
  <si>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</si>
  <si>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</si>
  <si>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</si>
  <si>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</si>
  <si>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</si>
  <si>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</si>
  <si>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</si>
  <si>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</si>
  <si>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</si>
  <si>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</si>
  <si>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</si>
  <si>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</si>
  <si>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</si>
  <si>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</si>
  <si>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</si>
  <si>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</si>
  <si>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</si>
  <si>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</si>
  <si>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</si>
  <si>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</si>
  <si>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</si>
  <si>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</si>
  <si>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</si>
  <si>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</si>
  <si>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</si>
  <si>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</si>
  <si>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</si>
  <si>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</si>
  <si>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</si>
  <si>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</si>
  <si>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</si>
  <si>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</si>
  <si>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</si>
  <si>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</si>
  <si>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</si>
  <si>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</si>
  <si>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</si>
  <si>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</si>
  <si>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</si>
  <si>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</si>
  <si>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</si>
  <si>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</si>
  <si>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</si>
  <si>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</si>
  <si>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</si>
  <si>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</si>
  <si>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</si>
  <si>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</si>
  <si>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</si>
  <si>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</si>
  <si>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</si>
  <si>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</si>
  <si>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</si>
  <si>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</si>
  <si>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</si>
  <si>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</si>
  <si>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</si>
  <si>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</si>
  <si>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</si>
  <si>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</si>
  <si>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</si>
  <si>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</si>
  <si>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</si>
  <si>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</si>
  <si>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</si>
  <si>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</si>
  <si>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</si>
  <si>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</si>
  <si>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</si>
  <si>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</si>
  <si>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</si>
  <si>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</si>
  <si>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</si>
  <si>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</si>
  <si>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</si>
  <si>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</si>
  <si>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</si>
  <si>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</si>
  <si>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</si>
  <si>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</si>
  <si>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</si>
  <si>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</si>
  <si>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</si>
  <si>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</si>
  <si>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</si>
  <si>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</si>
  <si>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</si>
  <si>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</si>
  <si>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</si>
  <si>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</si>
  <si>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</si>
  <si>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</si>
  <si>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</si>
  <si>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</si>
  <si>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</si>
  <si>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</si>
  <si>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</si>
  <si>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</si>
  <si>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</si>
  <si>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</si>
  <si>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</si>
  <si>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</si>
  <si>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</si>
  <si>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</si>
  <si>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</si>
  <si>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</si>
  <si>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</si>
  <si>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</si>
  <si>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</si>
  <si>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</si>
  <si>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</si>
  <si>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</si>
  <si>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</si>
  <si>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</si>
  <si>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</si>
  <si>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</si>
  <si>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</si>
  <si>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</si>
  <si>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</si>
  <si>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</si>
  <si>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</si>
  <si>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</si>
  <si>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</si>
  <si>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</si>
  <si>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</si>
  <si>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</si>
  <si>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</si>
  <si>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</si>
  <si>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</si>
  <si>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</si>
  <si>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</si>
  <si>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</si>
  <si>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</si>
  <si>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</si>
  <si>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</si>
  <si>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</si>
  <si>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</si>
  <si>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</si>
  <si>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</si>
  <si>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</si>
  <si>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</si>
  <si>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</si>
  <si>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</si>
  <si>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</si>
  <si>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</si>
  <si>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</si>
  <si>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</si>
  <si>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</si>
  <si>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</si>
  <si>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</si>
  <si>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</si>
  <si>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</si>
  <si>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</si>
  <si>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</si>
  <si>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</si>
  <si>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</si>
  <si>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</si>
  <si>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</si>
  <si>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</si>
  <si>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</si>
  <si>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</si>
  <si>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</si>
  <si>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</si>
  <si>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</si>
  <si>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</si>
  <si>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</si>
  <si>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</si>
  <si>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</si>
  <si>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</si>
  <si>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</si>
  <si>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</si>
  <si>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</si>
  <si>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</si>
  <si>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</si>
  <si>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</si>
  <si>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</si>
  <si>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</si>
  <si>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</si>
  <si>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</si>
  <si>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</si>
  <si>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</si>
  <si>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</si>
  <si>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</si>
  <si>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</si>
  <si>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</si>
  <si>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</si>
  <si>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</si>
  <si>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</si>
  <si>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</si>
  <si>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</si>
  <si>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</si>
  <si>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</si>
  <si>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</si>
  <si>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</si>
  <si>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</si>
  <si>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</si>
  <si>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</si>
  <si>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</si>
  <si>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</si>
  <si>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</si>
  <si>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</si>
  <si>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</si>
  <si>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</si>
  <si>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</si>
  <si>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</si>
  <si>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</si>
  <si>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</si>
  <si>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</si>
  <si>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</si>
  <si>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</si>
  <si>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</si>
  <si>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</si>
  <si>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</si>
  <si>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</si>
  <si>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</si>
  <si>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</si>
  <si>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</si>
  <si>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</si>
  <si>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</si>
  <si>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</si>
  <si>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</si>
  <si>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</si>
  <si>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</si>
  <si>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</si>
  <si>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</si>
  <si>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</si>
  <si>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</si>
  <si>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</si>
  <si>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</si>
  <si>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</si>
  <si>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</si>
  <si>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</si>
  <si>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</si>
  <si>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</si>
  <si>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</si>
  <si>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</si>
  <si>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</si>
  <si>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</si>
  <si>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</si>
  <si>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</si>
  <si>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</si>
  <si>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</si>
  <si>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</si>
  <si>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</si>
  <si>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</si>
  <si>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</si>
  <si>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</si>
  <si>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</si>
  <si>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</si>
  <si>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</si>
  <si>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</si>
  <si>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</si>
  <si>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</si>
  <si>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</si>
  <si>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</si>
  <si>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</si>
  <si>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</si>
  <si>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</si>
  <si>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</si>
  <si>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</si>
  <si>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</si>
  <si>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</si>
  <si>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</si>
  <si>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</si>
  <si>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</si>
  <si>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</si>
  <si>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</si>
  <si>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</si>
  <si>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</si>
  <si>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</si>
  <si>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</si>
  <si>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</si>
  <si>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</si>
  <si>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</si>
  <si>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</si>
  <si>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</si>
  <si>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</si>
  <si>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</si>
  <si>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</si>
  <si>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</si>
  <si>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</si>
  <si>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</si>
  <si>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</si>
  <si>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</si>
  <si>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</si>
  <si>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</si>
  <si>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</si>
  <si>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</si>
  <si>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</si>
  <si>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</si>
  <si>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</si>
  <si>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</si>
  <si>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</si>
  <si>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</si>
  <si>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</si>
  <si>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</si>
  <si>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</si>
  <si>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</si>
  <si>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</si>
  <si>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</si>
  <si>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</si>
  <si>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</si>
  <si>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</si>
  <si>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</si>
  <si>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</si>
  <si>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</si>
  <si>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</si>
  <si>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</si>
  <si>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</si>
  <si>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</si>
  <si>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</si>
  <si>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</si>
  <si>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</si>
  <si>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</si>
  <si>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</si>
  <si>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</si>
  <si>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</si>
  <si>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</si>
  <si>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</si>
  <si>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</si>
  <si>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</si>
  <si>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</si>
  <si>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</si>
  <si>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</si>
  <si>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</si>
  <si>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</si>
  <si>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</si>
  <si>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</si>
  <si>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</si>
  <si>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</si>
  <si>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</si>
  <si>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</si>
  <si>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</si>
  <si>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</si>
  <si>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</si>
  <si>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</si>
  <si>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</si>
  <si>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</si>
  <si>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</si>
  <si>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</si>
  <si>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</si>
  <si>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</si>
  <si>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</si>
  <si>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</si>
  <si>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</si>
  <si>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</si>
  <si>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</si>
  <si>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</si>
  <si>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</si>
  <si>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</si>
  <si>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</si>
  <si>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</si>
  <si>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</si>
  <si>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</si>
  <si>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</si>
  <si>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</si>
  <si>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</si>
  <si>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</si>
  <si>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</si>
  <si>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</si>
  <si>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</si>
  <si>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</si>
  <si>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</si>
  <si>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</si>
  <si>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</si>
  <si>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</si>
  <si>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</si>
  <si>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</si>
  <si>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</si>
  <si>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</si>
  <si>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</si>
  <si>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</si>
  <si>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</si>
  <si>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</si>
  <si>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</si>
  <si>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</si>
  <si>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</si>
  <si>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</si>
  <si>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</si>
  <si>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</si>
  <si>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</si>
  <si>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</si>
  <si>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</si>
  <si>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</si>
  <si>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</si>
  <si>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</si>
  <si>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</si>
  <si>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</si>
  <si>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</si>
  <si>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</si>
  <si>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</si>
  <si>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</si>
  <si>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</si>
  <si>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</si>
  <si>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</si>
  <si>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</si>
  <si>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</si>
  <si>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</si>
  <si>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</si>
  <si>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</si>
  <si>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</si>
  <si>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</si>
  <si>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</si>
  <si>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</si>
  <si>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</si>
  <si>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</si>
  <si>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</si>
  <si>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</si>
  <si>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</si>
  <si>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</si>
  <si>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</si>
  <si>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</si>
  <si>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</si>
  <si>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</si>
  <si>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</si>
  <si>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</si>
  <si>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</si>
  <si>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</si>
  <si>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</si>
  <si>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</si>
  <si>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</si>
  <si>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</si>
  <si>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</si>
  <si>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</si>
  <si>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</si>
  <si>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</si>
  <si>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</si>
  <si>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</si>
  <si>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</si>
  <si>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</si>
  <si>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</si>
  <si>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</si>
  <si>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</si>
  <si>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</si>
  <si>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</si>
  <si>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</si>
  <si>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</si>
  <si>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</si>
  <si>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</si>
  <si>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</si>
  <si>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</si>
  <si>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</si>
  <si>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</si>
  <si>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</si>
  <si>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</si>
  <si>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</si>
  <si>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</si>
  <si>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</si>
  <si>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</si>
  <si>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</si>
  <si>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</si>
  <si>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</si>
  <si>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</si>
  <si>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</si>
  <si>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</si>
  <si>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</si>
  <si>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</si>
  <si>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</si>
  <si>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</si>
  <si>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</si>
  <si>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</si>
  <si>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</si>
  <si>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</si>
  <si>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</si>
  <si>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</si>
  <si>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</si>
  <si>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</si>
  <si>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</si>
  <si>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</si>
  <si>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</si>
  <si>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</si>
  <si>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</si>
  <si>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</si>
  <si>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</si>
  <si>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</si>
  <si>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</si>
  <si>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</si>
  <si>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</si>
  <si>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</si>
  <si>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</si>
  <si>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</si>
  <si>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</si>
  <si>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</si>
  <si>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</si>
  <si>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</si>
  <si>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</si>
  <si>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</si>
  <si>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</si>
  <si>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</si>
  <si>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</si>
  <si>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</si>
  <si>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</si>
  <si>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</si>
  <si>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</si>
  <si>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</si>
  <si>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</si>
  <si>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</si>
  <si>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</si>
  <si>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</si>
  <si>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</si>
  <si>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</si>
  <si>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</si>
  <si>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</si>
  <si>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</si>
  <si>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</si>
  <si>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</si>
  <si>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</si>
  <si>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</si>
  <si>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</si>
  <si>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</si>
  <si>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</si>
  <si>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</si>
  <si>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</si>
  <si>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</si>
  <si>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</si>
  <si>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</si>
  <si>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</si>
  <si>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</si>
  <si>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</si>
  <si>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</si>
  <si>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</si>
  <si>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</si>
  <si>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</si>
  <si>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</si>
  <si>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</si>
  <si>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</si>
  <si>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</si>
  <si>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</si>
  <si>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</si>
  <si>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</si>
  <si>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</si>
  <si>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</si>
  <si>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</si>
  <si>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</si>
  <si>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</si>
  <si>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</si>
  <si>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</si>
  <si>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</si>
  <si>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</si>
  <si>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</si>
  <si>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</si>
  <si>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</si>
  <si>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</si>
  <si>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</si>
  <si>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</si>
  <si>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</si>
  <si>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</si>
  <si>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</si>
  <si>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</si>
  <si>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</si>
  <si>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</si>
  <si>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</si>
  <si>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</si>
  <si>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</si>
  <si>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</si>
  <si>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</si>
  <si>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</si>
  <si>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</si>
  <si>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</si>
  <si>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</si>
  <si>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</si>
  <si>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</si>
  <si>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</si>
  <si>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</si>
  <si>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</si>
  <si>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</si>
  <si>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</si>
  <si>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</si>
  <si>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</si>
  <si>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</si>
  <si>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</si>
  <si>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</si>
  <si>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</si>
  <si>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</si>
  <si>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</si>
  <si>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</si>
  <si>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</si>
  <si>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</si>
  <si>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</si>
  <si>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</si>
  <si>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</si>
  <si>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</si>
  <si>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</si>
  <si>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</si>
  <si>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</si>
  <si>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</si>
  <si>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</si>
  <si>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</si>
  <si>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</si>
  <si>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</si>
  <si>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</si>
  <si>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</si>
  <si>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</si>
  <si>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</si>
  <si>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</si>
  <si>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</si>
  <si>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</si>
  <si>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</si>
  <si>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</si>
  <si>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</si>
  <si>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</si>
  <si>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</si>
  <si>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</si>
  <si>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</si>
  <si>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</si>
  <si>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</si>
  <si>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</si>
  <si>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</si>
  <si>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</si>
  <si>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</si>
  <si>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</si>
  <si>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</si>
  <si>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</si>
  <si>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</si>
  <si>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</si>
  <si>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</si>
  <si>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</si>
  <si>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</si>
  <si>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</si>
  <si>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</si>
  <si>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</si>
  <si>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</si>
  <si>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</si>
  <si>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</si>
  <si>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</si>
  <si>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</si>
  <si>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</si>
  <si>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</si>
  <si>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</si>
  <si>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</si>
  <si>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</si>
  <si>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</si>
  <si>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</si>
  <si>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</si>
  <si>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</si>
  <si>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</si>
  <si>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</si>
  <si>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</si>
  <si>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</si>
  <si>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</si>
  <si>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</si>
  <si>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</si>
  <si>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</si>
  <si>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</si>
  <si>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</si>
  <si>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</si>
  <si>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</si>
  <si>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</si>
  <si>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</si>
  <si>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</si>
  <si>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</si>
  <si>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</si>
  <si>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</si>
  <si>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</si>
  <si>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</si>
  <si>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</si>
  <si>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</si>
  <si>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</si>
  <si>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</si>
  <si>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</si>
  <si>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</si>
  <si>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</si>
  <si>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</si>
  <si>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</si>
  <si>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</si>
  <si>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</si>
  <si>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</si>
  <si>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</si>
  <si>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</si>
  <si>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</si>
  <si>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</si>
  <si>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</si>
  <si>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</si>
  <si>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</si>
  <si>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</si>
  <si>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</si>
  <si>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</si>
  <si>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</si>
  <si>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</si>
  <si>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</si>
  <si>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</si>
  <si>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</si>
  <si>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</si>
  <si>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</si>
  <si>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</si>
  <si>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</si>
  <si>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</si>
  <si>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</si>
  <si>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</si>
  <si>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</si>
  <si>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</si>
  <si>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</si>
  <si>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</si>
  <si>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</si>
  <si>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</si>
  <si>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</si>
  <si>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</si>
  <si>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</si>
  <si>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</si>
  <si>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</si>
  <si>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</si>
  <si>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</si>
  <si>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</si>
  <si>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</si>
  <si>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</si>
  <si>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</si>
  <si>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</si>
  <si>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</si>
  <si>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</si>
  <si>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</si>
  <si>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</si>
  <si>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</si>
  <si>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</si>
  <si>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</si>
  <si>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</si>
  <si>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</si>
  <si>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</si>
  <si>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</si>
  <si>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</si>
  <si>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</si>
  <si>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</si>
  <si>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</si>
  <si>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</si>
  <si>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</si>
  <si>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</si>
  <si>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</si>
  <si>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</si>
  <si>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</si>
  <si>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</si>
  <si>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</si>
  <si>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</si>
  <si>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</si>
  <si>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</si>
  <si>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</si>
  <si>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</si>
  <si>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</si>
  <si>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</si>
  <si>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</si>
  <si>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</si>
  <si>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</si>
  <si>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</si>
  <si>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</si>
  <si>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</si>
  <si>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</si>
  <si>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</si>
  <si>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</si>
  <si>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</si>
  <si>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</si>
  <si>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</si>
  <si>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</si>
  <si>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</si>
  <si>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</si>
  <si>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</si>
  <si>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</si>
  <si>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</si>
  <si>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</si>
  <si>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</si>
  <si>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</si>
  <si>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</si>
  <si>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</si>
  <si>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</si>
  <si>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</si>
  <si>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</si>
  <si>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</si>
  <si>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</si>
  <si>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</si>
  <si>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</si>
  <si>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</si>
  <si>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</si>
  <si>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</si>
  <si>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</si>
  <si>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</si>
  <si>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</si>
  <si>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</si>
  <si>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</si>
  <si>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</si>
  <si>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</si>
  <si>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</si>
  <si>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</si>
  <si>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</si>
  <si>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</si>
  <si>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</si>
  <si>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</si>
  <si>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</si>
  <si>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</si>
  <si>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</si>
  <si>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</si>
  <si>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</si>
  <si>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</si>
  <si>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</si>
  <si>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</si>
  <si>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</si>
  <si>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</si>
  <si>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</si>
  <si>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</si>
  <si>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</si>
  <si>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</si>
  <si>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</si>
  <si>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</si>
  <si>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</si>
  <si>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</si>
  <si>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</si>
  <si>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</si>
  <si>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</si>
  <si>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</si>
  <si>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</si>
  <si>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</si>
  <si>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</si>
  <si>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</si>
  <si>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</si>
  <si>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</si>
  <si>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</si>
  <si>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</si>
  <si>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</si>
  <si>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</si>
  <si>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</si>
  <si>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</si>
  <si>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</si>
  <si>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</si>
  <si>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</si>
  <si>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</si>
  <si>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</si>
  <si>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</si>
  <si>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</si>
  <si>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</si>
  <si>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</si>
  <si>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</si>
  <si>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</si>
  <si>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</si>
  <si>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</si>
  <si>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</si>
  <si>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</si>
  <si>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</si>
  <si>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</si>
  <si>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</si>
  <si>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</si>
  <si>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</si>
  <si>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</si>
  <si>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</si>
  <si>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</si>
  <si>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</si>
  <si>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</si>
  <si>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</si>
  <si>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</si>
  <si>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</si>
  <si>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</si>
  <si>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</si>
  <si>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</si>
  <si>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</si>
  <si>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</si>
  <si>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</si>
  <si>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</si>
  <si>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</si>
  <si>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</si>
  <si>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</si>
  <si>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</si>
  <si>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</si>
  <si>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</si>
  <si>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</si>
  <si>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</si>
  <si>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</si>
  <si>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</si>
  <si>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</si>
  <si>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</si>
  <si>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</si>
  <si>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</si>
  <si>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</si>
  <si>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</si>
  <si>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</si>
  <si>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</si>
  <si>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</si>
  <si>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</si>
  <si>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</si>
  <si>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</si>
  <si>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</si>
  <si>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</si>
  <si>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</si>
  <si>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</si>
  <si>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</si>
  <si>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</si>
  <si>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</si>
  <si>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</si>
  <si>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</si>
  <si>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</si>
  <si>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</si>
  <si>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</si>
  <si>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</si>
  <si>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</si>
  <si>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</si>
  <si>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</si>
  <si>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</si>
  <si>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</si>
  <si>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</si>
  <si>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</si>
  <si>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</si>
  <si>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</si>
  <si>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</si>
  <si>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</si>
  <si>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</si>
  <si>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</si>
  <si>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</si>
  <si>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</si>
  <si>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</si>
  <si>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</si>
  <si>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</si>
  <si>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</si>
  <si>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</si>
  <si>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</si>
  <si>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</si>
  <si>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</si>
  <si>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</si>
  <si>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</si>
  <si>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</si>
  <si>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</si>
  <si>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</si>
  <si>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</si>
  <si>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</si>
  <si>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</si>
  <si>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</si>
  <si>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</si>
  <si>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</si>
  <si>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</si>
  <si>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</si>
  <si>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</si>
  <si>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</si>
  <si>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</si>
  <si>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</si>
  <si>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</si>
  <si>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</si>
  <si>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</si>
  <si>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</si>
  <si>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</si>
  <si>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</si>
  <si>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</si>
  <si>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</si>
  <si>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</si>
  <si>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</si>
  <si>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</si>
  <si>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</si>
  <si>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</si>
  <si>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</si>
  <si>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</si>
  <si>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</si>
  <si>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</si>
  <si>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</si>
  <si>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</si>
  <si>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</si>
  <si>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</si>
  <si>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</si>
  <si>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</si>
  <si>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</si>
  <si>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</si>
  <si>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</si>
  <si>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</si>
  <si>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</si>
  <si>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</si>
  <si>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</si>
  <si>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</si>
  <si>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</si>
  <si>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</si>
  <si>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</si>
  <si>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</si>
  <si>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</si>
  <si>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</si>
  <si>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</si>
  <si>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</si>
  <si>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</si>
  <si>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</si>
  <si>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</si>
  <si>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</si>
  <si>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</si>
  <si>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</si>
  <si>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</si>
  <si>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</si>
  <si>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</si>
  <si>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</si>
  <si>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</si>
  <si>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</si>
  <si>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</si>
  <si>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</si>
  <si>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</si>
  <si>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</si>
  <si>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</si>
  <si>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</si>
  <si>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</si>
  <si>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</si>
  <si>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</si>
  <si>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</si>
  <si>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</si>
  <si>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</si>
  <si>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</si>
  <si>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</si>
  <si>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</si>
  <si>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</si>
  <si>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</si>
  <si>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</si>
  <si>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</si>
  <si>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</si>
  <si>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</si>
  <si>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</si>
  <si>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</si>
  <si>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</si>
  <si>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</si>
  <si>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</si>
  <si>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</si>
  <si>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</si>
  <si>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</si>
  <si>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</si>
  <si>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</si>
  <si>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</si>
  <si>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</si>
  <si>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</si>
  <si>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</si>
  <si>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</si>
  <si>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</si>
  <si>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</si>
  <si>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</si>
  <si>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</si>
  <si>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</si>
  <si>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</si>
  <si>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</si>
  <si>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</si>
  <si>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</si>
  <si>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</si>
  <si>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</si>
  <si>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</si>
  <si>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</si>
  <si>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</si>
  <si>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</si>
  <si>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</si>
  <si>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</si>
  <si>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</si>
  <si>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</si>
  <si>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</si>
  <si>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</si>
  <si>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</si>
  <si>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</si>
  <si>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</si>
  <si>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</si>
  <si>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</si>
  <si>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</si>
  <si>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</si>
  <si>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</si>
  <si>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</si>
  <si>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</si>
  <si>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</si>
  <si>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</si>
  <si>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</si>
  <si>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</si>
  <si>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</si>
  <si>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</si>
  <si>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</si>
  <si>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</si>
  <si>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</si>
  <si>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</si>
  <si>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</si>
  <si>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</si>
  <si>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</si>
  <si>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</si>
  <si>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</si>
  <si>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</si>
  <si>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</si>
  <si>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</si>
  <si>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</si>
  <si>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</si>
  <si>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</si>
  <si>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</si>
  <si>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</si>
  <si>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</si>
  <si>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</si>
  <si>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</si>
  <si>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</si>
  <si>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</si>
  <si>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</si>
  <si>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</si>
  <si>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</si>
  <si>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</si>
  <si>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</si>
  <si>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</si>
  <si>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</si>
  <si>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</si>
  <si>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</si>
  <si>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</si>
  <si>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</si>
  <si>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</si>
  <si>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</si>
  <si>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</si>
  <si>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</si>
  <si>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</si>
  <si>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</si>
  <si>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</si>
  <si>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</si>
  <si>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</si>
  <si>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</si>
  <si>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</si>
  <si>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</si>
  <si>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</si>
  <si>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</si>
  <si>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</si>
  <si>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</si>
  <si>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</si>
  <si>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</si>
  <si>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</si>
  <si>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</si>
  <si>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</si>
  <si>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</si>
  <si>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</si>
  <si>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</si>
  <si>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</si>
  <si>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</si>
  <si>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</si>
  <si>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</si>
  <si>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</si>
  <si>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</si>
  <si>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</si>
  <si>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</si>
  <si>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</si>
  <si>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</si>
  <si>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</si>
  <si>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</si>
  <si>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</si>
  <si>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</si>
  <si>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</si>
  <si>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</si>
  <si>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</si>
  <si>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</si>
  <si>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</si>
  <si>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</si>
  <si>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</si>
  <si>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</si>
  <si>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</si>
  <si>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</si>
  <si>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</si>
  <si>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</si>
  <si>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</si>
  <si>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</si>
  <si>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</si>
  <si>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</si>
  <si>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</si>
  <si>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</si>
  <si>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</si>
  <si>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</si>
  <si>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</si>
  <si>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</si>
  <si>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</si>
  <si>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</si>
  <si>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</si>
  <si>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</si>
  <si>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</si>
  <si>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</si>
  <si>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</si>
  <si>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</si>
  <si>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</si>
  <si>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</si>
  <si>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</si>
  <si>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</si>
  <si>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</si>
  <si>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</si>
  <si>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</si>
  <si>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</si>
  <si>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</si>
  <si>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</si>
  <si>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</si>
  <si>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</si>
  <si>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</si>
  <si>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</si>
  <si>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</si>
  <si>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</si>
  <si>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</si>
  <si>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</si>
  <si>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</si>
  <si>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</si>
  <si>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</si>
  <si>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</si>
  <si>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</si>
  <si>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</si>
  <si>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</si>
  <si>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</si>
  <si>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</si>
  <si>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</si>
  <si>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</si>
  <si>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</si>
  <si>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</si>
  <si>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</si>
  <si>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</si>
  <si>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</si>
  <si>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</si>
  <si>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</si>
  <si>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</si>
  <si>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</si>
  <si>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</si>
  <si>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</si>
  <si>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</si>
  <si>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</si>
  <si>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</si>
  <si>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</si>
  <si>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</si>
  <si>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</si>
  <si>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</si>
  <si>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</si>
  <si>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</si>
  <si>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</si>
  <si>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</si>
  <si>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</si>
  <si>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</si>
  <si>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</si>
  <si>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</si>
  <si>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</si>
  <si>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</si>
  <si>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</si>
  <si>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</si>
  <si>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</si>
  <si>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</si>
  <si>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</si>
  <si>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</si>
  <si>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</si>
  <si>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</si>
  <si>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</si>
  <si>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</si>
  <si>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</si>
  <si>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</si>
  <si>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</si>
  <si>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</si>
  <si>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</si>
  <si>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</si>
  <si>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</si>
  <si>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</si>
  <si>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</si>
  <si>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</si>
  <si>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</si>
  <si>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</si>
  <si>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</si>
  <si>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</si>
  <si>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</si>
  <si>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</si>
  <si>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</si>
  <si>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</si>
  <si>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</si>
  <si>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</si>
  <si>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</si>
  <si>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</si>
  <si>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</si>
  <si>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</si>
  <si>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</si>
  <si>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</si>
  <si>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</si>
  <si>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</si>
  <si>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</si>
  <si>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</si>
  <si>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</si>
  <si>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</si>
  <si>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</si>
  <si>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</si>
  <si>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</si>
  <si>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</si>
  <si>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</si>
  <si>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</si>
  <si>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</si>
  <si>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</si>
  <si>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</si>
  <si>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</si>
  <si>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</si>
  <si>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</si>
  <si>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</si>
  <si>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</si>
  <si>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</si>
  <si>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</si>
  <si>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</si>
  <si>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</si>
  <si>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</si>
  <si>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</si>
  <si>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</si>
  <si>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</si>
  <si>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</si>
  <si>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</si>
  <si>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</si>
  <si>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</si>
  <si>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</si>
  <si>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</si>
  <si>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</si>
  <si>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</si>
  <si>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</si>
  <si>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</si>
  <si>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</si>
  <si>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</si>
  <si>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</si>
  <si>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</si>
  <si>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</si>
  <si>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</si>
  <si>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</si>
  <si>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</si>
  <si>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</si>
  <si>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</si>
  <si>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</si>
  <si>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</si>
  <si>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</si>
  <si>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</si>
  <si>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</si>
  <si>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</si>
  <si>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</si>
  <si>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</si>
  <si>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</si>
  <si>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</si>
  <si>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</si>
  <si>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</si>
  <si>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</si>
  <si>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</si>
  <si>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</si>
  <si>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</si>
  <si>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</si>
  <si>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</si>
  <si>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</si>
  <si>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</si>
  <si>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</si>
  <si>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</si>
  <si>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</si>
  <si>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</si>
  <si>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</si>
  <si>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</si>
  <si>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</si>
  <si>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</si>
  <si>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</si>
  <si>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</si>
  <si>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</si>
  <si>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</si>
  <si>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</si>
  <si>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</si>
  <si>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</si>
  <si>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</si>
  <si>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</si>
  <si>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</si>
  <si>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</si>
  <si>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</si>
  <si>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</si>
  <si>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</si>
  <si>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</si>
  <si>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</si>
  <si>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</si>
  <si>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</si>
  <si>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</si>
  <si>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</si>
  <si>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</si>
  <si>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</si>
  <si>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</si>
  <si>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</si>
  <si>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</si>
  <si>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</si>
  <si>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</si>
  <si>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</si>
  <si>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</si>
  <si>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</si>
  <si>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</si>
  <si>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</si>
  <si>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</si>
  <si>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</si>
  <si>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</si>
  <si>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</si>
  <si>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</si>
  <si>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</si>
  <si>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</si>
  <si>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</si>
  <si>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</si>
  <si>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</si>
  <si>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</si>
  <si>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</si>
  <si>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</si>
  <si>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</si>
  <si>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</si>
  <si>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</si>
  <si>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</si>
  <si>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</si>
  <si>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</si>
  <si>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</si>
  <si>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</si>
  <si>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</si>
  <si>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</si>
  <si>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</si>
  <si>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</si>
  <si>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</si>
  <si>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</si>
  <si>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</si>
  <si>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</si>
  <si>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</si>
  <si>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</si>
  <si>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</si>
  <si>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</si>
  <si>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</si>
  <si>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</si>
  <si>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</si>
  <si>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</si>
  <si>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</si>
  <si>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</si>
  <si>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</si>
  <si>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</si>
  <si>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</si>
  <si>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</si>
  <si>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</si>
  <si>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</si>
  <si>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</si>
  <si>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</si>
  <si>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</si>
  <si>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</si>
  <si>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</si>
  <si>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</si>
  <si>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</si>
  <si>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</si>
  <si>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</si>
  <si>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</si>
  <si>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</si>
  <si>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</si>
  <si>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</si>
  <si>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</si>
  <si>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</si>
  <si>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</si>
  <si>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</si>
  <si>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</si>
  <si>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</si>
  <si>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</si>
  <si>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</si>
  <si>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</si>
  <si>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</si>
  <si>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</si>
  <si>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</si>
  <si>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</si>
  <si>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</si>
  <si>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</si>
  <si>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</si>
  <si>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</si>
  <si>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</si>
  <si>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</si>
  <si>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</si>
  <si>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</si>
  <si>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</si>
  <si>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</si>
  <si>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</si>
  <si>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</si>
  <si>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</si>
  <si>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</si>
  <si>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</si>
  <si>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</si>
  <si>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</si>
  <si>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</si>
  <si>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</si>
  <si>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</si>
  <si>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</si>
  <si>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</si>
  <si>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</si>
  <si>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</si>
  <si>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</si>
  <si>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</si>
  <si>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</si>
  <si>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</si>
  <si>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</si>
  <si>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</si>
  <si>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</si>
  <si>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</si>
  <si>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</si>
  <si>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</si>
  <si>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</si>
  <si>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</si>
  <si>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</si>
  <si>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</si>
  <si>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</si>
  <si>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</si>
  <si>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</si>
  <si>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</si>
  <si>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</si>
  <si>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</si>
  <si>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</si>
  <si>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</si>
  <si>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</si>
  <si>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</si>
  <si>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</si>
  <si>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</si>
  <si>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</si>
  <si>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</si>
  <si>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</si>
  <si>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</si>
  <si>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</si>
  <si>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</si>
  <si>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</si>
  <si>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</si>
  <si>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</si>
  <si>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</si>
  <si>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</si>
  <si>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</si>
  <si>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</si>
  <si>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</si>
  <si>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</si>
  <si>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</si>
  <si>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</si>
  <si>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</si>
  <si>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</si>
  <si>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</si>
  <si>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</si>
  <si>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</si>
  <si>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</si>
  <si>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</si>
  <si>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</si>
  <si>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</si>
  <si>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</si>
  <si>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</si>
  <si>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</si>
  <si>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</si>
  <si>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</si>
  <si>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</si>
  <si>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</si>
  <si>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</si>
  <si>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</si>
  <si>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</si>
  <si>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</si>
  <si>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</si>
  <si>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</si>
  <si>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</si>
  <si>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</si>
  <si>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</si>
  <si>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</si>
  <si>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</si>
  <si>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</si>
  <si>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</si>
  <si>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</si>
  <si>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</si>
  <si>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</si>
  <si>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</si>
  <si>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</si>
  <si>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</si>
  <si>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</si>
  <si>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</si>
  <si>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</si>
  <si>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</si>
  <si>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</si>
  <si>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</si>
  <si>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</si>
  <si>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</si>
  <si>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</si>
  <si>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</si>
  <si>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</si>
  <si>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</si>
  <si>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</si>
  <si>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</si>
  <si>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</si>
  <si>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</si>
  <si>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</si>
  <si>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</si>
  <si>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</si>
  <si>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</si>
  <si>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</si>
  <si>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</si>
  <si>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</si>
  <si>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</si>
  <si>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</si>
  <si>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</si>
  <si>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</si>
  <si>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</si>
  <si>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</si>
  <si>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</si>
  <si>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</si>
  <si>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</si>
  <si>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</si>
  <si>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</si>
  <si>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</si>
  <si>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</si>
  <si>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</si>
  <si>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</si>
  <si>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</si>
  <si>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</si>
  <si>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</si>
  <si>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</si>
  <si>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</si>
  <si>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</si>
  <si>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</si>
  <si>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</si>
  <si>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</si>
  <si>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</si>
  <si>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</si>
  <si>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</si>
  <si>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</si>
  <si>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</si>
  <si>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</si>
  <si>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</si>
  <si>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</si>
  <si>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</si>
  <si>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</si>
  <si>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</si>
  <si>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</si>
  <si>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</si>
  <si>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</si>
  <si>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</si>
  <si>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</si>
  <si>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</si>
  <si>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</si>
  <si>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</si>
  <si>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</si>
  <si>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</si>
  <si>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</si>
  <si>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</si>
  <si>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</si>
  <si>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</si>
  <si>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</si>
  <si>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</si>
  <si>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</si>
  <si>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</si>
  <si>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</si>
  <si>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</si>
  <si>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</si>
  <si>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</si>
  <si>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</si>
  <si>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</si>
  <si>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</si>
  <si>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</si>
  <si>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</si>
  <si>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</si>
  <si>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</si>
  <si>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</si>
  <si>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</si>
  <si>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</si>
  <si>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</si>
  <si>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</si>
  <si>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</si>
  <si>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</si>
  <si>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</si>
  <si>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</si>
  <si>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</si>
  <si>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</si>
  <si>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</si>
  <si>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</si>
  <si>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</si>
  <si>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</si>
  <si>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</si>
  <si>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</si>
  <si>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</si>
  <si>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</si>
  <si>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</si>
  <si>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</si>
  <si>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</si>
  <si>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</si>
  <si>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</si>
  <si>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</si>
  <si>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</si>
  <si>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</si>
  <si>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</si>
  <si>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</si>
  <si>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</si>
  <si>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</si>
  <si>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</si>
  <si>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</si>
  <si>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</si>
  <si>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</si>
  <si>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</si>
  <si>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</si>
  <si>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</si>
  <si>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</si>
  <si>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</si>
  <si>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</si>
  <si>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</si>
  <si>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</si>
  <si>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</si>
  <si>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</si>
  <si>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</si>
  <si>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</si>
  <si>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</si>
  <si>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</si>
  <si>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</si>
  <si>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</si>
  <si>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</si>
  <si>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</si>
  <si>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</si>
  <si>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</si>
  <si>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</si>
  <si>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</si>
  <si>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</si>
  <si>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</si>
  <si>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</si>
  <si>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</si>
  <si>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</si>
  <si>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</si>
  <si>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</si>
  <si>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</si>
  <si>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</si>
  <si>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</si>
  <si>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</si>
  <si>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</si>
  <si>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</si>
  <si>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</si>
  <si>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</si>
  <si>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</si>
  <si>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</si>
  <si>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</si>
  <si>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</si>
  <si>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</si>
  <si>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</si>
  <si>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</si>
  <si>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</si>
  <si>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</si>
  <si>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</si>
  <si>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</si>
  <si>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</si>
  <si>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</si>
  <si>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</si>
  <si>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</si>
  <si>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</si>
  <si>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</si>
  <si>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</si>
  <si>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</si>
  <si>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</si>
  <si>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</si>
  <si>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</si>
  <si>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</si>
  <si>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</si>
  <si>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</si>
  <si>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</si>
  <si>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</si>
  <si>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</si>
  <si>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</si>
  <si>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</si>
  <si>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</si>
  <si>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</si>
  <si>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</si>
  <si>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</si>
  <si>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</si>
  <si>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</si>
  <si>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</si>
  <si>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</si>
  <si>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</si>
  <si>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</si>
  <si>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</si>
  <si>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</si>
  <si>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</si>
  <si>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</si>
  <si>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</si>
  <si>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</si>
  <si>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</si>
  <si>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</si>
  <si>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</si>
  <si>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</si>
  <si>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</si>
  <si>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</si>
  <si>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</si>
  <si>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</si>
  <si>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</si>
  <si>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</si>
  <si>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</si>
  <si>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</si>
  <si>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</si>
  <si>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</si>
  <si>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</si>
  <si>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</si>
  <si>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</si>
  <si>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</si>
  <si>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</si>
  <si>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</si>
  <si>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</si>
  <si>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</si>
  <si>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</si>
  <si>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</si>
  <si>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</si>
  <si>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</si>
  <si>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</si>
  <si>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</si>
  <si>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</si>
  <si>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</si>
  <si>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</si>
  <si>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</si>
  <si>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</si>
  <si>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</si>
  <si>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</si>
  <si>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</si>
  <si>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</si>
  <si>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</si>
  <si>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</si>
  <si>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</si>
  <si>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</si>
  <si>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</si>
  <si>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</si>
  <si>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</si>
  <si>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</si>
  <si>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</si>
  <si>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</si>
  <si>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</si>
  <si>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</si>
  <si>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</si>
  <si>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</si>
  <si>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</si>
  <si>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</si>
  <si>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</si>
  <si>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</si>
  <si>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</si>
  <si>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</si>
  <si>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</si>
  <si>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</si>
  <si>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</si>
  <si>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</si>
  <si>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</si>
  <si>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</si>
  <si>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</si>
  <si>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</si>
  <si>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</si>
  <si>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</si>
  <si>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</si>
  <si>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</si>
  <si>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</si>
  <si>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</si>
  <si>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</si>
  <si>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</si>
  <si>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</si>
  <si>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</si>
  <si>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</si>
  <si>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</si>
  <si>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</si>
  <si>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</si>
  <si>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</si>
  <si>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</si>
  <si>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</si>
  <si>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</si>
  <si>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</si>
  <si>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</si>
  <si>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</si>
  <si>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</si>
  <si>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</si>
  <si>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</si>
  <si>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</si>
  <si>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</si>
  <si>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</si>
  <si>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</si>
  <si>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</si>
  <si>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</si>
  <si>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</si>
  <si>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</si>
  <si>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</si>
  <si>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</si>
  <si>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</si>
  <si>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</si>
  <si>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</si>
  <si>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</si>
  <si>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</si>
  <si>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</si>
  <si>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</si>
  <si>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</si>
  <si>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</si>
  <si>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</si>
  <si>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</si>
  <si>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</si>
  <si>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</si>
  <si>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</si>
  <si>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</si>
  <si>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</si>
  <si>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</si>
  <si>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</si>
  <si>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</si>
  <si>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</si>
  <si>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</si>
  <si>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</si>
  <si>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</si>
  <si>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</si>
  <si>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</si>
  <si>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</si>
  <si>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</si>
  <si>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</si>
  <si>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</si>
  <si>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</si>
  <si>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</si>
  <si>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</si>
  <si>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</si>
  <si>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</si>
  <si>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</si>
  <si>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</si>
  <si>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</si>
  <si>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</si>
  <si>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</si>
  <si>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</si>
  <si>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</si>
  <si>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</si>
  <si>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</si>
  <si>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</si>
  <si>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</si>
  <si>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</si>
  <si>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</si>
  <si>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</si>
  <si>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</si>
  <si>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</si>
  <si>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</si>
  <si>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</si>
  <si>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</si>
  <si>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</si>
  <si>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</si>
  <si>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</si>
  <si>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</si>
  <si>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</si>
  <si>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</si>
  <si>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</si>
  <si>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</si>
  <si>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</si>
  <si>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</si>
  <si>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</si>
  <si>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</si>
  <si>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</si>
  <si>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</si>
  <si>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</si>
  <si>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</si>
  <si>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</si>
  <si>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</si>
  <si>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</si>
  <si>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</si>
  <si>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</si>
  <si>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</si>
  <si>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</si>
  <si>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</si>
  <si>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</si>
  <si>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</si>
  <si>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</si>
  <si>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</si>
  <si>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</si>
  <si>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</si>
  <si>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</si>
  <si>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</si>
  <si>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</si>
  <si>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</si>
  <si>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</si>
  <si>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</si>
  <si>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</si>
  <si>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</si>
  <si>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</si>
  <si>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</si>
  <si>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</si>
  <si>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</si>
  <si>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</si>
  <si>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</si>
  <si>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</si>
  <si>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</si>
  <si>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</si>
  <si>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</si>
  <si>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</si>
  <si>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</si>
  <si>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</si>
  <si>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</si>
  <si>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</si>
  <si>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</si>
  <si>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</si>
  <si>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</si>
  <si>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</si>
  <si>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</si>
  <si>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</si>
  <si>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</si>
  <si>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</si>
  <si>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</si>
  <si>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</si>
  <si>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</si>
  <si>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</si>
  <si>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</si>
  <si>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</si>
  <si>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</si>
  <si>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</si>
  <si>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</si>
  <si>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</si>
  <si>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</si>
  <si>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</si>
  <si>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</si>
  <si>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</si>
  <si>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</si>
  <si>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</si>
  <si>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</si>
  <si>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</si>
  <si>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</si>
  <si>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</si>
  <si>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</si>
  <si>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</si>
  <si>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</si>
  <si>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</si>
  <si>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</si>
  <si>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</si>
  <si>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</si>
  <si>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</si>
  <si>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</si>
  <si>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</si>
  <si>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</si>
  <si>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</si>
  <si>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</si>
  <si>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</si>
  <si>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</si>
  <si>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</si>
  <si>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</si>
  <si>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</si>
  <si>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</si>
  <si>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</si>
  <si>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</si>
  <si>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</si>
  <si>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</si>
  <si>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</si>
  <si>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</si>
  <si>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</si>
  <si>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</si>
  <si>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</si>
  <si>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</si>
  <si>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</si>
  <si>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</si>
  <si>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</si>
  <si>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</si>
  <si>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</si>
  <si>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</si>
  <si>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</si>
  <si>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</si>
  <si>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</si>
  <si>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</si>
  <si>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</si>
  <si>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</si>
  <si>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</si>
  <si>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</si>
  <si>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</si>
  <si>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</si>
  <si>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</si>
  <si>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</si>
  <si>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</si>
  <si>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</si>
  <si>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</si>
  <si>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</si>
  <si>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</si>
  <si>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</si>
  <si>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</si>
  <si>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</si>
  <si>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</si>
  <si>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</si>
  <si>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</si>
  <si>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</si>
  <si>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</si>
  <si>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</si>
  <si>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</si>
  <si>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</si>
  <si>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</si>
  <si>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</si>
  <si>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</si>
  <si>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</si>
  <si>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</si>
  <si>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</si>
  <si>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</si>
  <si>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</si>
  <si>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</si>
  <si>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</si>
  <si>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</si>
  <si>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</si>
  <si>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</si>
  <si>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</si>
  <si>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</si>
  <si>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</si>
  <si>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</si>
  <si>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</si>
  <si>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</si>
  <si>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</si>
  <si>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</si>
  <si>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</si>
  <si>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</si>
  <si>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</si>
  <si>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</si>
  <si>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</si>
  <si>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</si>
  <si>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</si>
  <si>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</si>
  <si>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</si>
  <si>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</si>
  <si>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</si>
  <si>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</si>
  <si>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</si>
  <si>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</si>
  <si>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</si>
  <si>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</si>
  <si>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</si>
  <si>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</si>
  <si>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</si>
  <si>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</si>
  <si>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Daman Products</t>
  </si>
  <si>
    <t>Dave Reed</t>
  </si>
  <si>
    <t>daver@daman.com</t>
  </si>
  <si>
    <t>574-252-4908</t>
  </si>
  <si>
    <t>Same</t>
  </si>
  <si>
    <t>Purchasing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</si>
</sst>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8">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9"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2"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4"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6"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3"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6"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4" fillId="0" borderId="0" xfId="527" applyFont="1" applyFill="1" applyAlignment="1">
      <alignment horizontal="left" vertical="center" wrapText="1"/>
    </xf>
    <xf numFmtId="164" fontId="6" fillId="0" borderId="0" xfId="480" applyAlignment="1">
      <alignment vertical="center"/>
    </xf>
    <xf numFmtId="0" fontId="125"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5" fillId="2" borderId="1" xfId="0" applyNumberFormat="1" applyFont="1" applyFill="1" applyBorder="1" applyAlignment="1" applyProtection="1">
      <alignment horizontal="left" vertical="center" wrapText="1"/>
      <protection locked="0"/>
    </xf>
    <xf numFmtId="49" fontId="105" fillId="2" borderId="28" xfId="0" applyNumberFormat="1" applyFont="1" applyFill="1" applyBorder="1" applyAlignment="1" applyProtection="1">
      <alignment horizontal="left" vertical="center" wrapText="1"/>
      <protection locked="0"/>
    </xf>
    <xf numFmtId="49" fontId="104" fillId="2" borderId="52" xfId="487"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daver@daman.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7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ht="16.5">
      <c r="A12" s="362"/>
      <c r="B12" s="42" t="s">
        <v>964</v>
      </c>
      <c r="C12" s="43" t="s">
        <v>967</v>
      </c>
      <c r="D12" s="212" t="s">
        <v>968</v>
      </c>
      <c r="E12" s="43" t="s">
        <v>701</v>
      </c>
      <c r="F12" s="43" t="s">
        <v>702</v>
      </c>
      <c r="G12" s="34"/>
    </row>
    <row r="13" spans="1:7" ht="33.75">
      <c r="A13" s="362"/>
      <c r="B13" s="2">
        <v>1</v>
      </c>
      <c r="C13" s="37" t="s">
        <v>1208</v>
      </c>
      <c r="D13" s="39" t="s">
        <v>992</v>
      </c>
      <c r="E13" s="196" t="s">
        <v>969</v>
      </c>
      <c r="F13" s="196"/>
      <c r="G13" s="34"/>
    </row>
    <row r="14" spans="1:7" ht="33.75">
      <c r="A14" s="362"/>
      <c r="B14" s="2">
        <v>2</v>
      </c>
      <c r="C14" s="37" t="s">
        <v>1208</v>
      </c>
      <c r="D14" s="39" t="s">
        <v>1142</v>
      </c>
      <c r="E14" s="196" t="s">
        <v>602</v>
      </c>
      <c r="F14" s="196" t="s">
        <v>603</v>
      </c>
      <c r="G14" s="34"/>
    </row>
    <row r="15" spans="1:7" ht="89.1" customHeight="1">
      <c r="A15" s="362"/>
      <c r="B15" s="347">
        <v>2.0099999999999998</v>
      </c>
      <c r="C15" s="359" t="s">
        <v>1208</v>
      </c>
      <c r="D15" s="368" t="s">
        <v>2686</v>
      </c>
      <c r="E15" s="197" t="s">
        <v>703</v>
      </c>
      <c r="F15" s="197" t="s">
        <v>706</v>
      </c>
      <c r="G15" s="34"/>
    </row>
    <row r="16" spans="1:7" ht="99" customHeight="1">
      <c r="A16" s="362"/>
      <c r="B16" s="348"/>
      <c r="C16" s="360"/>
      <c r="D16" s="369"/>
      <c r="E16" s="198"/>
      <c r="F16" s="198" t="s">
        <v>704</v>
      </c>
      <c r="G16" s="34"/>
    </row>
    <row r="17" spans="1:7" ht="63" customHeight="1">
      <c r="A17" s="362"/>
      <c r="B17" s="349"/>
      <c r="C17" s="361"/>
      <c r="D17" s="370"/>
      <c r="E17" s="37"/>
      <c r="F17" s="37" t="s">
        <v>705</v>
      </c>
      <c r="G17" s="34"/>
    </row>
    <row r="18" spans="1:7" ht="117" customHeight="1">
      <c r="A18" s="362"/>
      <c r="B18" s="347">
        <v>2.02</v>
      </c>
      <c r="C18" s="359" t="s">
        <v>1208</v>
      </c>
      <c r="D18" s="368" t="s">
        <v>2687</v>
      </c>
      <c r="E18" s="197" t="s">
        <v>507</v>
      </c>
      <c r="F18" s="197" t="s">
        <v>596</v>
      </c>
      <c r="G18" s="34"/>
    </row>
    <row r="19" spans="1:7" ht="71.099999999999994" customHeight="1">
      <c r="A19" s="362"/>
      <c r="B19" s="348"/>
      <c r="C19" s="360"/>
      <c r="D19" s="369"/>
      <c r="E19" s="198" t="s">
        <v>601</v>
      </c>
      <c r="F19" s="198" t="s">
        <v>508</v>
      </c>
      <c r="G19" s="34"/>
    </row>
    <row r="20" spans="1:7" ht="90.75" customHeight="1">
      <c r="A20" s="362"/>
      <c r="B20" s="348"/>
      <c r="C20" s="360"/>
      <c r="D20" s="369"/>
      <c r="E20" s="198"/>
      <c r="F20" s="198" t="s">
        <v>708</v>
      </c>
      <c r="G20" s="34"/>
    </row>
    <row r="21" spans="1:7" ht="74.25" customHeight="1">
      <c r="A21" s="362"/>
      <c r="B21" s="349"/>
      <c r="C21" s="361"/>
      <c r="D21" s="370"/>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 customHeight="1">
      <c r="A26" s="362"/>
      <c r="B26" s="350">
        <v>3</v>
      </c>
      <c r="C26" s="347" t="s">
        <v>74</v>
      </c>
      <c r="D26" s="368" t="s">
        <v>2690</v>
      </c>
      <c r="E26" s="359" t="s">
        <v>0</v>
      </c>
      <c r="F26" s="197" t="s">
        <v>68</v>
      </c>
      <c r="G26" s="34"/>
    </row>
    <row r="27" spans="1:7" ht="90" customHeight="1">
      <c r="A27" s="362"/>
      <c r="B27" s="351"/>
      <c r="C27" s="348"/>
      <c r="D27" s="369"/>
      <c r="E27" s="360"/>
      <c r="F27" s="198" t="s">
        <v>63</v>
      </c>
      <c r="G27" s="34"/>
    </row>
    <row r="28" spans="1:7" ht="19.350000000000001" customHeight="1">
      <c r="A28" s="362"/>
      <c r="B28" s="351"/>
      <c r="C28" s="348"/>
      <c r="D28" s="369"/>
      <c r="E28" s="360"/>
      <c r="F28" s="198" t="s">
        <v>64</v>
      </c>
      <c r="G28" s="34"/>
    </row>
    <row r="29" spans="1:7" ht="74.45" customHeight="1">
      <c r="A29" s="362"/>
      <c r="B29" s="351"/>
      <c r="C29" s="348"/>
      <c r="D29" s="369"/>
      <c r="E29" s="360"/>
      <c r="F29" s="198" t="s">
        <v>65</v>
      </c>
      <c r="G29" s="34"/>
    </row>
    <row r="30" spans="1:7" ht="62.45" customHeight="1">
      <c r="A30" s="362"/>
      <c r="B30" s="351"/>
      <c r="C30" s="348"/>
      <c r="D30" s="369"/>
      <c r="E30" s="360"/>
      <c r="F30" s="198" t="s">
        <v>66</v>
      </c>
      <c r="G30" s="34"/>
    </row>
    <row r="31" spans="1:7" ht="81" customHeight="1">
      <c r="A31" s="362"/>
      <c r="B31" s="351"/>
      <c r="C31" s="348"/>
      <c r="D31" s="369"/>
      <c r="E31" s="360"/>
      <c r="F31" s="198" t="s">
        <v>67</v>
      </c>
      <c r="G31" s="34"/>
    </row>
    <row r="32" spans="1:7" ht="48.75" customHeight="1">
      <c r="A32" s="362"/>
      <c r="B32" s="351"/>
      <c r="C32" s="348"/>
      <c r="D32" s="369"/>
      <c r="E32" s="360"/>
      <c r="F32" s="198" t="s">
        <v>70</v>
      </c>
      <c r="G32" s="34"/>
    </row>
    <row r="33" spans="1:7" ht="98.45" customHeight="1">
      <c r="A33" s="362"/>
      <c r="B33" s="351"/>
      <c r="C33" s="348"/>
      <c r="D33" s="369"/>
      <c r="E33" s="360"/>
      <c r="F33" s="198" t="s">
        <v>69</v>
      </c>
      <c r="G33" s="34"/>
    </row>
    <row r="34" spans="1:7" ht="89.1" customHeight="1">
      <c r="A34" s="362"/>
      <c r="B34" s="351"/>
      <c r="C34" s="348"/>
      <c r="D34" s="369"/>
      <c r="E34" s="360"/>
      <c r="F34" s="198" t="s">
        <v>71</v>
      </c>
      <c r="G34" s="34"/>
    </row>
    <row r="35" spans="1:7" ht="29.1" customHeight="1">
      <c r="A35" s="362"/>
      <c r="B35" s="351"/>
      <c r="C35" s="348"/>
      <c r="D35" s="369"/>
      <c r="E35" s="360"/>
      <c r="F35" s="198" t="s">
        <v>72</v>
      </c>
      <c r="G35" s="34"/>
    </row>
    <row r="36" spans="1:7" ht="126.75">
      <c r="A36" s="362"/>
      <c r="B36" s="352"/>
      <c r="C36" s="349"/>
      <c r="D36" s="370"/>
      <c r="E36" s="361"/>
      <c r="F36" s="199" t="s">
        <v>73</v>
      </c>
      <c r="G36" s="34"/>
    </row>
    <row r="37" spans="1:7" ht="123.75">
      <c r="A37" s="362"/>
      <c r="B37" s="175">
        <v>3.01</v>
      </c>
      <c r="C37" s="176" t="s">
        <v>74</v>
      </c>
      <c r="D37" s="39" t="s">
        <v>2691</v>
      </c>
      <c r="E37" s="200" t="s">
        <v>1458</v>
      </c>
      <c r="F37" s="201" t="s">
        <v>1577</v>
      </c>
      <c r="G37" s="34"/>
    </row>
    <row r="38" spans="1:7" ht="112.5">
      <c r="A38" s="362"/>
      <c r="B38" s="175">
        <v>3.02</v>
      </c>
      <c r="C38" s="176" t="s">
        <v>1492</v>
      </c>
      <c r="D38" s="39" t="s">
        <v>2692</v>
      </c>
      <c r="E38" s="200" t="s">
        <v>1507</v>
      </c>
      <c r="F38" s="201" t="s">
        <v>1578</v>
      </c>
      <c r="G38" s="34"/>
    </row>
    <row r="39" spans="1:7" ht="101.25">
      <c r="A39" s="362"/>
      <c r="B39" s="184">
        <v>4</v>
      </c>
      <c r="C39" s="183" t="s">
        <v>1757</v>
      </c>
      <c r="D39" s="39" t="s">
        <v>2693</v>
      </c>
      <c r="E39" s="37" t="s">
        <v>2625</v>
      </c>
      <c r="F39" s="37" t="s">
        <v>1758</v>
      </c>
      <c r="G39" s="34"/>
    </row>
    <row r="40" spans="1:7" ht="56.25">
      <c r="A40" s="362"/>
      <c r="B40" s="175">
        <v>4.01</v>
      </c>
      <c r="C40" s="183" t="s">
        <v>1757</v>
      </c>
      <c r="D40" s="39" t="s">
        <v>2695</v>
      </c>
      <c r="E40" s="37" t="s">
        <v>2644</v>
      </c>
      <c r="F40" s="37" t="s">
        <v>2649</v>
      </c>
      <c r="G40" s="34"/>
    </row>
    <row r="41" spans="1:7" ht="56.25">
      <c r="A41" s="362"/>
      <c r="B41" s="175" t="s">
        <v>2680</v>
      </c>
      <c r="C41" s="183" t="s">
        <v>1757</v>
      </c>
      <c r="D41" s="39" t="s">
        <v>2694</v>
      </c>
      <c r="E41" s="37" t="s">
        <v>2683</v>
      </c>
      <c r="F41" s="37" t="s">
        <v>2681</v>
      </c>
      <c r="G41" s="34"/>
    </row>
    <row r="42" spans="1:7" ht="56.25">
      <c r="A42" s="362"/>
      <c r="B42" s="175" t="s">
        <v>2732</v>
      </c>
      <c r="C42" s="183" t="s">
        <v>1757</v>
      </c>
      <c r="D42" s="39" t="s">
        <v>2903</v>
      </c>
      <c r="E42" s="37" t="s">
        <v>2682</v>
      </c>
      <c r="F42" s="37" t="s">
        <v>2733</v>
      </c>
      <c r="G42" s="34"/>
    </row>
    <row r="43" spans="1:7" ht="123.75">
      <c r="A43" s="362"/>
      <c r="B43" s="193">
        <v>4.0999999999999996</v>
      </c>
      <c r="C43" s="183" t="s">
        <v>2902</v>
      </c>
      <c r="D43" s="194">
        <v>42867</v>
      </c>
      <c r="E43" s="202" t="s">
        <v>2905</v>
      </c>
      <c r="F43" s="37" t="s">
        <v>2904</v>
      </c>
      <c r="G43" s="34"/>
    </row>
    <row r="44" spans="1:7" ht="78.75">
      <c r="A44" s="362"/>
      <c r="B44" s="193">
        <v>4.2</v>
      </c>
      <c r="C44" s="183" t="s">
        <v>2902</v>
      </c>
      <c r="D44" s="194">
        <v>42704</v>
      </c>
      <c r="E44" s="202" t="s">
        <v>3155</v>
      </c>
      <c r="F44" s="37" t="s">
        <v>3120</v>
      </c>
      <c r="G44" s="34"/>
    </row>
    <row r="45" spans="1:7" ht="157.5">
      <c r="A45" s="362"/>
      <c r="B45" s="241">
        <v>5</v>
      </c>
      <c r="C45" s="183" t="s">
        <v>2902</v>
      </c>
      <c r="D45" s="194">
        <v>42867</v>
      </c>
      <c r="E45" s="202" t="s">
        <v>13730</v>
      </c>
      <c r="F45" s="37" t="s">
        <v>13315</v>
      </c>
      <c r="G45" s="34"/>
    </row>
    <row r="46" spans="1:7" ht="45">
      <c r="A46" s="362"/>
      <c r="B46" s="193">
        <v>5.01</v>
      </c>
      <c r="C46" s="183" t="s">
        <v>2902</v>
      </c>
      <c r="D46" s="194">
        <v>42907</v>
      </c>
      <c r="E46" s="202" t="s">
        <v>13786</v>
      </c>
      <c r="F46" s="37" t="s">
        <v>13315</v>
      </c>
      <c r="G46" s="34"/>
    </row>
    <row r="47" spans="1:7" ht="67.5">
      <c r="A47" s="362"/>
      <c r="B47" s="193">
        <v>5.0999999999999996</v>
      </c>
      <c r="C47" s="183" t="s">
        <v>2902</v>
      </c>
      <c r="D47" s="194">
        <v>43070</v>
      </c>
      <c r="E47" s="202" t="s">
        <v>13985</v>
      </c>
      <c r="F47" s="37" t="s">
        <v>13986</v>
      </c>
      <c r="G47" s="34"/>
    </row>
    <row r="48" spans="1:7" ht="56.25">
      <c r="A48" s="362"/>
      <c r="B48" s="193">
        <v>5.1100000000000003</v>
      </c>
      <c r="C48" s="183" t="s">
        <v>14260</v>
      </c>
      <c r="D48" s="194">
        <v>43217</v>
      </c>
      <c r="E48" s="202" t="s">
        <v>14404</v>
      </c>
      <c r="F48" s="37" t="s">
        <v>14299</v>
      </c>
      <c r="G48" s="34"/>
    </row>
    <row r="49" spans="1:7" ht="56.25">
      <c r="A49" s="362"/>
      <c r="B49" s="193">
        <v>5.12</v>
      </c>
      <c r="C49" s="183" t="s">
        <v>14260</v>
      </c>
      <c r="D49" s="194">
        <v>43581</v>
      </c>
      <c r="E49" s="202" t="s">
        <v>14404</v>
      </c>
      <c r="F49" s="37" t="s">
        <v>15467</v>
      </c>
      <c r="G49" s="34"/>
    </row>
    <row r="50" spans="1:7" ht="13.5" thickBot="1">
      <c r="A50" s="363"/>
      <c r="B50" s="364" t="str">
        <f ca="1">OFFSET(L!$C$1,MATCH("General"&amp;"Cpy",L!$A:$A,0)-1,SL,,)</f>
        <v>© 2019 Responsible Minerals Initiative. All rights reserved.</v>
      </c>
      <c r="C50" s="364"/>
      <c r="D50" s="364"/>
      <c r="E50" s="364"/>
      <c r="F50" s="364"/>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7" zoomScaleNormal="100" zoomScalePageLayoutView="60" workbookViewId="0">
      <selection activeCell="D3" sqref="D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Normal="100"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6"/>
      <c r="B1" s="397"/>
      <c r="C1" s="397"/>
      <c r="D1" s="397"/>
      <c r="E1" s="397"/>
      <c r="F1" s="397"/>
      <c r="G1" s="397"/>
      <c r="H1" s="397"/>
      <c r="I1" s="397"/>
      <c r="J1" s="397"/>
      <c r="K1" s="398"/>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399" t="str">
        <f ca="1">OFFSET(L!$C$1,MATCH("Declaration"&amp;ADDRESS(ROW(),COLUMN(),4),L!$A:$A,0)-1,SL,,)</f>
        <v>Conflict Minerals Reporting Template (CMRT)</v>
      </c>
      <c r="E2" s="400"/>
      <c r="F2" s="400"/>
      <c r="G2" s="400"/>
      <c r="H2" s="400"/>
      <c r="I2" s="400"/>
      <c r="J2" s="40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9"/>
      <c r="G3" s="409"/>
      <c r="H3" s="409"/>
      <c r="I3" s="186"/>
      <c r="J3" s="172" t="s">
        <v>15472</v>
      </c>
      <c r="K3" s="47"/>
      <c r="L3" s="143"/>
      <c r="M3" s="134"/>
      <c r="N3" s="134"/>
      <c r="O3" s="135"/>
      <c r="P3" s="148">
        <f>MATCH($D$3,LN,0)</f>
        <v>1</v>
      </c>
    </row>
    <row r="4" spans="1:34" ht="15.75">
      <c r="A4" s="45"/>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4" t="str">
        <f ca="1">OFFSET(L!$C$1,MATCH("Declaration"&amp;ADDRESS(ROW(),COLUMN(),4),L!$A:$A,0)-1,SL,,)</f>
        <v>Company Information</v>
      </c>
      <c r="C7" s="414"/>
      <c r="D7" s="414"/>
      <c r="E7" s="414"/>
      <c r="F7" s="414"/>
      <c r="G7" s="414"/>
      <c r="H7" s="414"/>
      <c r="I7" s="414"/>
      <c r="J7" s="414"/>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2" t="s">
        <v>15494</v>
      </c>
      <c r="E8" s="403"/>
      <c r="F8" s="403"/>
      <c r="G8" s="403"/>
      <c r="H8" s="403"/>
      <c r="I8" s="403"/>
      <c r="J8" s="404"/>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1" t="s">
        <v>564</v>
      </c>
      <c r="E9" s="412"/>
      <c r="F9" s="412"/>
      <c r="G9" s="41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15" t="str">
        <f ca="1">OFFSET(L!$C$1,MATCH("Declaration"&amp;ADDRESS(ROW(),COLUMN(),4)&amp;LEFT($D$9,1),L!$A:$A,0)-1,SL,,)</f>
        <v>Description of Scope:</v>
      </c>
      <c r="C10" s="155"/>
      <c r="D10" s="406"/>
      <c r="E10" s="407"/>
      <c r="F10" s="407"/>
      <c r="G10" s="407"/>
      <c r="H10" s="407"/>
      <c r="I10" s="407"/>
      <c r="J10" s="40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6"/>
      <c r="C11" s="155"/>
      <c r="D11" s="426" t="str">
        <f ca="1">IF(D9=Q9,OFFSET(L!$C$1,MATCH("Declaration"&amp;ADDRESS(ROW(),COLUMN(),4),L!$A:$A,0)-1,SL,,),"")</f>
        <v/>
      </c>
      <c r="E11" s="427"/>
      <c r="F11" s="427"/>
      <c r="G11" s="427"/>
      <c r="H11" s="427"/>
      <c r="I11" s="427"/>
      <c r="J11" s="428"/>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5"/>
      <c r="E12" s="386"/>
      <c r="F12" s="386"/>
      <c r="G12" s="386"/>
      <c r="H12" s="386"/>
      <c r="I12" s="386"/>
      <c r="J12" s="38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5"/>
      <c r="E13" s="386"/>
      <c r="F13" s="386"/>
      <c r="G13" s="386"/>
      <c r="H13" s="386"/>
      <c r="I13" s="386"/>
      <c r="J13" s="38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85"/>
      <c r="E14" s="386"/>
      <c r="F14" s="386"/>
      <c r="G14" s="386"/>
      <c r="H14" s="386"/>
      <c r="I14" s="386"/>
      <c r="J14" s="387"/>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5" t="s">
        <v>15495</v>
      </c>
      <c r="E15" s="386"/>
      <c r="F15" s="386"/>
      <c r="G15" s="386"/>
      <c r="H15" s="386"/>
      <c r="I15" s="386"/>
      <c r="J15" s="38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17" t="s">
        <v>15496</v>
      </c>
      <c r="E16" s="418"/>
      <c r="F16" s="418"/>
      <c r="G16" s="418"/>
      <c r="H16" s="418"/>
      <c r="I16" s="418"/>
      <c r="J16" s="41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5" t="s">
        <v>15497</v>
      </c>
      <c r="E17" s="386"/>
      <c r="F17" s="386"/>
      <c r="G17" s="386"/>
      <c r="H17" s="386"/>
      <c r="I17" s="386"/>
      <c r="J17" s="38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5" t="s">
        <v>15498</v>
      </c>
      <c r="E18" s="386"/>
      <c r="F18" s="386"/>
      <c r="G18" s="386"/>
      <c r="H18" s="386"/>
      <c r="I18" s="386"/>
      <c r="J18" s="38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5" t="s">
        <v>15499</v>
      </c>
      <c r="E19" s="386"/>
      <c r="F19" s="386"/>
      <c r="G19" s="386"/>
      <c r="H19" s="386"/>
      <c r="I19" s="386"/>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0" t="s">
        <v>15498</v>
      </c>
      <c r="E20" s="418"/>
      <c r="F20" s="418"/>
      <c r="G20" s="418"/>
      <c r="H20" s="418"/>
      <c r="I20" s="418"/>
      <c r="J20" s="41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5" t="s">
        <v>15498</v>
      </c>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8">
        <v>43808</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3"/>
      <c r="E23" s="423"/>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7" t="s">
        <v>559</v>
      </c>
      <c r="E27" s="378"/>
      <c r="F27" s="15"/>
      <c r="G27" s="379"/>
      <c r="H27" s="380"/>
      <c r="I27" s="380"/>
      <c r="J27" s="381"/>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84" t="str">
        <f ca="1">D25</f>
        <v>Answer</v>
      </c>
      <c r="E31" s="384"/>
      <c r="F31" s="21"/>
      <c r="G31" s="55" t="str">
        <f ca="1">G25</f>
        <v>Comments</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1" t="s">
        <v>559</v>
      </c>
      <c r="E32" s="392"/>
      <c r="F32" s="58"/>
      <c r="G32" s="379"/>
      <c r="H32" s="380"/>
      <c r="I32" s="380"/>
      <c r="J32" s="381"/>
      <c r="K32" s="47"/>
      <c r="L32" s="146"/>
      <c r="M32" s="136"/>
      <c r="N32" s="134"/>
      <c r="O32" s="135"/>
      <c r="P32" s="148" t="str">
        <f>IF(D$32="No","","(*)")</f>
        <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4" t="str">
        <f ca="1">D25</f>
        <v>Answer</v>
      </c>
      <c r="E37" s="384"/>
      <c r="F37" s="21"/>
      <c r="G37" s="55" t="str">
        <f ca="1">G25</f>
        <v>Comments</v>
      </c>
      <c r="H37" s="422"/>
      <c r="I37" s="422"/>
      <c r="J37" s="422"/>
      <c r="K37" s="47"/>
      <c r="L37" s="140" t="s">
        <v>1369</v>
      </c>
      <c r="M37" s="134"/>
      <c r="N37" s="134"/>
      <c r="O37" s="135"/>
      <c r="P37" s="56">
        <f>COUNTIF(D$26:D$29,"No")+COUNTIF(D$32:D$35,"No")</f>
        <v>5</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7"/>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 xml:space="preserve">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 xml:space="preserve">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2"/>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46"/>
      <c r="D51" s="382"/>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82"/>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82"/>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 xml:space="preserve">6) Have you identified all of the smelters supplying the 3TG to your supply chain? </v>
      </c>
      <c r="C55" s="13"/>
      <c r="D55" s="384" t="str">
        <f ca="1">D25</f>
        <v>Answer</v>
      </c>
      <c r="E55" s="384"/>
      <c r="F55" s="21"/>
      <c r="G55" s="55" t="str">
        <f ca="1">G25</f>
        <v>Comments</v>
      </c>
      <c r="H55" s="421"/>
      <c r="I55" s="421"/>
      <c r="J55" s="421"/>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1"/>
      <c r="E56" s="392"/>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 xml:space="preserve">7) Has all applicable smelter information received by your company been reported in this declaration? </v>
      </c>
      <c r="C61" s="13"/>
      <c r="D61" s="384" t="str">
        <f ca="1">D25</f>
        <v>Answer</v>
      </c>
      <c r="E61" s="384"/>
      <c r="F61" s="21"/>
      <c r="G61" s="55" t="str">
        <f ca="1">G25</f>
        <v>Comments</v>
      </c>
      <c r="H61" s="421" t="str">
        <f>IF(Q69="(*)","Click here to enter smelter names","")</f>
        <v/>
      </c>
      <c r="I61" s="421"/>
      <c r="J61" s="421"/>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5" t="str">
        <f ca="1">OFFSET(L!$C$1,MATCH("Declaration"&amp;ADDRESS(ROW(),COLUMN(),4),L!$A:$A,0)-1,SL,,)</f>
        <v>Answer the Following Questions at a Company Level</v>
      </c>
      <c r="C67" s="435"/>
      <c r="D67" s="435"/>
      <c r="E67" s="435"/>
      <c r="F67" s="435"/>
      <c r="G67" s="435"/>
      <c r="H67" s="435"/>
      <c r="I67" s="435"/>
      <c r="J67" s="435"/>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4" t="str">
        <f ca="1">D25</f>
        <v>Answer</v>
      </c>
      <c r="E68" s="424"/>
      <c r="F68" s="64"/>
      <c r="G68" s="424" t="str">
        <f ca="1">G25</f>
        <v>Comments</v>
      </c>
      <c r="H68" s="424" t="e">
        <f>HLOOKUP(SL,LT,$O68,0)</f>
        <v>#NAME?</v>
      </c>
      <c r="I68" s="424"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v>
      </c>
      <c r="C69" s="68"/>
      <c r="D69" s="377" t="s">
        <v>559</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5"/>
      <c r="H70" s="425"/>
      <c r="I70" s="425"/>
      <c r="J70" s="425"/>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v>
      </c>
      <c r="C71" s="68"/>
      <c r="D71" s="377"/>
      <c r="E71" s="378"/>
      <c r="F71" s="68"/>
      <c r="G71" s="393"/>
      <c r="H71" s="394"/>
      <c r="I71" s="394"/>
      <c r="J71" s="39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432" t="s">
        <v>559</v>
      </c>
      <c r="E79" s="433"/>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5"/>
      <c r="H80" s="425"/>
      <c r="I80" s="425"/>
      <c r="J80" s="425"/>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4"/>
      <c r="H82" s="434"/>
      <c r="I82" s="434"/>
      <c r="J82" s="434"/>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1" t="str">
        <f>IF(OR($D$8="",$I$3=""),"","Click here to check required fields completion")</f>
        <v/>
      </c>
      <c r="C86" s="431"/>
      <c r="D86" s="431"/>
      <c r="E86" s="431"/>
      <c r="F86" s="431"/>
      <c r="G86" s="431"/>
      <c r="H86" s="431"/>
      <c r="I86" s="431"/>
      <c r="J86" s="431"/>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29" t="str">
        <f ca="1">OFFSET(L!$C$1,MATCH("General"&amp;"Cpy",L!$A:$A,0)-1,SL,,)</f>
        <v>© 2019 Responsible Minerals Initiative. All rights reserved.</v>
      </c>
      <c r="B87" s="430"/>
      <c r="C87" s="430"/>
      <c r="D87" s="430"/>
      <c r="E87" s="430"/>
      <c r="F87" s="430"/>
      <c r="G87" s="430"/>
      <c r="H87" s="430"/>
      <c r="I87" s="430"/>
      <c r="J87" s="430"/>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6" t="str">
        <f ca="1">OFFSET(L!$C$1,MATCH("Smelter List"&amp;ADDRESS(ROW(),COLUMN(),4),L!$A:$A,0)-1,SL,,)</f>
        <v>Link to "RMAP Conformant Smelter List"</v>
      </c>
      <c r="K2" s="437"/>
      <c r="L2" s="437"/>
      <c r="M2" s="437"/>
      <c r="N2" s="437"/>
      <c r="O2" s="437"/>
      <c r="P2" s="232"/>
      <c r="Q2" s="233"/>
      <c r="R2" s="234"/>
      <c r="S2" s="234"/>
      <c r="T2" s="234"/>
      <c r="U2" s="261"/>
      <c r="V2" s="261"/>
      <c r="W2" s="262"/>
      <c r="X2" s="261"/>
      <c r="Y2" s="261"/>
      <c r="Z2" s="261"/>
      <c r="AH2" s="178" t="s">
        <v>558</v>
      </c>
    </row>
    <row r="3" spans="1:34" s="263" customFormat="1" ht="255.6" customHeight="1">
      <c r="A3" s="204"/>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64"/>
      <c r="G3" s="439" t="str">
        <f ca="1">OFFSET(L!$C$1,MATCH("General"&amp;"Cpy",L!$A:$A,0)-1,SL,,)</f>
        <v>© 2019 Responsible Minerals Initiative. All rights reserved.</v>
      </c>
      <c r="H3" s="439"/>
      <c r="I3" s="440"/>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100000000000001"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f ca="1">IF(H67=0,"0",H67)</f>
        <v>1</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Daman Products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Dave Reed</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daver@daman.com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574-252-4908</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Same</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Same</v>
      </c>
      <c r="C11" s="105" t="str">
        <f t="shared" ca="1" si="3"/>
        <v>Provide an email for authorized company representative on Declaration tab cell D20</v>
      </c>
      <c r="D11" s="111" t="str">
        <f>IF(H11=1,"Click here to enter Representative's email","")</f>
        <v>Click here to enter Representative's email</v>
      </c>
      <c r="E11" s="87" t="s">
        <v>1437</v>
      </c>
      <c r="F11" s="109">
        <v>1</v>
      </c>
      <c r="G11" s="84">
        <f>IF(ISNUMBER(SEARCH("@",B11)),0,1)</f>
        <v>1</v>
      </c>
      <c r="H11" s="85">
        <f t="shared" si="2"/>
        <v>1</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Same</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43808</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 xml:space="preserve">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 xml:space="preserve">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 xml:space="preserve">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v>
      </c>
      <c r="B50" s="105" t="str">
        <f>Declaration!D69</f>
        <v>No</v>
      </c>
      <c r="C50" s="105" t="str">
        <f t="shared" ca="1" si="3"/>
        <v>Complete</v>
      </c>
      <c r="D50" s="111" t="str">
        <f>IF(H50=1,"Click here to answer question (A)","")</f>
        <v/>
      </c>
      <c r="E50" s="87" t="s">
        <v>1437</v>
      </c>
      <c r="F50" s="110">
        <f>IF(SUM(F$25:F$28)=0,0,1)</f>
        <v>0</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f>Declaration!D71</f>
        <v>0</v>
      </c>
      <c r="C51" s="105" t="str">
        <f t="shared" ca="1" si="3"/>
        <v>Complete</v>
      </c>
      <c r="D51" s="111" t="str">
        <f>IF(H51=1,"Click here to answer question (B)","")</f>
        <v/>
      </c>
      <c r="E51" s="87" t="s">
        <v>1437</v>
      </c>
      <c r="F51" s="110">
        <f t="shared" ref="F51:F60" si="7">F$50</f>
        <v>0</v>
      </c>
      <c r="G51" s="84">
        <f t="shared" si="5"/>
        <v>1</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v>
      </c>
      <c r="B53" s="105" t="str">
        <f>Declaration!D73</f>
        <v>Yes</v>
      </c>
      <c r="C53" s="105" t="str">
        <f t="shared" ca="1" si="3"/>
        <v>Complete</v>
      </c>
      <c r="D53" s="111" t="str">
        <f>IF(H53=1,"Click here to answer question (C)","")</f>
        <v/>
      </c>
      <c r="E53" s="87" t="s">
        <v>1437</v>
      </c>
      <c r="F53" s="110">
        <f t="shared" si="7"/>
        <v>0</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v>
      </c>
      <c r="B54" s="105" t="str">
        <f>Declaration!D75</f>
        <v>No</v>
      </c>
      <c r="C54" s="105" t="str">
        <f ca="1">IF(H54=1,J54,I54)</f>
        <v>Complete</v>
      </c>
      <c r="D54" s="111" t="str">
        <f>IF(H54=1,"Click here to answer question (D)","")</f>
        <v/>
      </c>
      <c r="E54" s="87" t="s">
        <v>1437</v>
      </c>
      <c r="F54" s="110">
        <f t="shared" si="7"/>
        <v>0</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v>
      </c>
      <c r="B55" s="105" t="str">
        <f>Declaration!D77</f>
        <v>Yes</v>
      </c>
      <c r="C55" s="105" t="str">
        <f t="shared" ca="1" si="3"/>
        <v>Complete</v>
      </c>
      <c r="D55" s="111" t="str">
        <f>IF(H55=1,"Click here to answer question (E)","")</f>
        <v/>
      </c>
      <c r="E55" s="87" t="s">
        <v>1437</v>
      </c>
      <c r="F55" s="110">
        <f t="shared" si="7"/>
        <v>0</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v>
      </c>
      <c r="B56" s="105" t="str">
        <f>Declaration!D79</f>
        <v>No</v>
      </c>
      <c r="C56" s="105" t="str">
        <f t="shared" ca="1" si="3"/>
        <v>Complete</v>
      </c>
      <c r="D56" s="111" t="str">
        <f>IF(H56=1,"Click here to answer question (F)","")</f>
        <v/>
      </c>
      <c r="E56" s="87" t="s">
        <v>1437</v>
      </c>
      <c r="F56" s="110">
        <f t="shared" si="7"/>
        <v>0</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v>
      </c>
      <c r="B58" s="105" t="str">
        <f>Declaration!D81</f>
        <v>Yes</v>
      </c>
      <c r="C58" s="105" t="str">
        <f t="shared" ca="1" si="3"/>
        <v>Complete</v>
      </c>
      <c r="D58" s="111" t="str">
        <f>IF(H58=1,"Click here to answer question (G)","")</f>
        <v/>
      </c>
      <c r="E58" s="87" t="s">
        <v>1437</v>
      </c>
      <c r="F58" s="110">
        <f t="shared" si="7"/>
        <v>0</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v>
      </c>
      <c r="B59" s="105" t="str">
        <f>Declaration!D83</f>
        <v>Yes</v>
      </c>
      <c r="C59" s="105" t="str">
        <f t="shared" ca="1" si="3"/>
        <v>Complete</v>
      </c>
      <c r="D59" s="111" t="str">
        <f>IF(H59=1,"Click here to answer question (H)","")</f>
        <v/>
      </c>
      <c r="E59" s="87" t="s">
        <v>1437</v>
      </c>
      <c r="F59" s="110">
        <f t="shared" si="7"/>
        <v>0</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v>
      </c>
      <c r="B60" s="105" t="str">
        <f>Declaration!D85</f>
        <v>No</v>
      </c>
      <c r="C60" s="105" t="str">
        <f t="shared" ca="1" si="3"/>
        <v>Complete</v>
      </c>
      <c r="D60" s="111" t="str">
        <f>IF(H60=1,"Click here to answer question (I)","")</f>
        <v/>
      </c>
      <c r="E60" s="87" t="s">
        <v>1437</v>
      </c>
      <c r="F60" s="110">
        <f t="shared" si="7"/>
        <v>0</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1</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I9" sqref="I9"/>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49"/>
    </row>
    <row r="2" spans="1:6">
      <c r="A2" s="29"/>
      <c r="B2" s="151"/>
      <c r="C2" s="151"/>
      <c r="D2"/>
      <c r="E2" s="30"/>
    </row>
    <row r="3" spans="1:6">
      <c r="A3" s="29"/>
      <c r="B3" s="151"/>
      <c r="C3" s="151"/>
      <c r="D3" s="151"/>
      <c r="E3" s="30"/>
    </row>
    <row r="4" spans="1:6" ht="15.75" customHeight="1">
      <c r="A4" s="29"/>
      <c r="B4" s="442" t="s">
        <v>1014</v>
      </c>
      <c r="C4" s="442"/>
      <c r="D4" s="442"/>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5" t="str">
        <f ca="1">OFFSET(L!$C$1,MATCH("General"&amp;"Cpy",L!$A:$A,0)-1,SL,,)</f>
        <v>© 2019 Responsible Minerals Initiative. All rights reserved.</v>
      </c>
      <c r="C1001" s="445"/>
      <c r="D1001" s="445"/>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David Reed</cp:lastModifiedBy>
  <cp:lastPrinted>2015-04-21T20:47:43Z</cp:lastPrinted>
  <dcterms:created xsi:type="dcterms:W3CDTF">2010-06-21T21:00:23Z</dcterms:created>
  <dcterms:modified xsi:type="dcterms:W3CDTF">2019-12-09T11:40:35Z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